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drawings/drawing31.xml" ContentType="application/vnd.openxmlformats-officedocument.drawing+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34.xml" ContentType="application/vnd.openxmlformats-officedocument.drawing+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drawings/drawing40.xml" ContentType="application/vnd.openxmlformats-officedocument.drawing+xml"/>
  <Override PartName="/xl/worksheets/sheet53.xml" ContentType="application/vnd.openxmlformats-officedocument.spreadsheetml.worksheet+xml"/>
  <Override PartName="/xl/drawings/drawing41.xml" ContentType="application/vnd.openxmlformats-officedocument.drawing+xml"/>
  <Override PartName="/xl/worksheets/sheet54.xml" ContentType="application/vnd.openxmlformats-officedocument.spreadsheetml.worksheet+xml"/>
  <Override PartName="/xl/drawings/drawing42.xml" ContentType="application/vnd.openxmlformats-officedocument.drawing+xml"/>
  <Override PartName="/xl/worksheets/sheet55.xml" ContentType="application/vnd.openxmlformats-officedocument.spreadsheetml.worksheet+xml"/>
  <Override PartName="/xl/drawings/drawing43.xml" ContentType="application/vnd.openxmlformats-officedocument.drawing+xml"/>
  <Override PartName="/xl/worksheets/sheet56.xml" ContentType="application/vnd.openxmlformats-officedocument.spreadsheetml.worksheet+xml"/>
  <Override PartName="/xl/drawings/drawing44.xml" ContentType="application/vnd.openxmlformats-officedocument.drawing+xml"/>
  <Override PartName="/xl/worksheets/sheet57.xml" ContentType="application/vnd.openxmlformats-officedocument.spreadsheetml.worksheet+xml"/>
  <Override PartName="/xl/drawings/drawing45.xml" ContentType="application/vnd.openxmlformats-officedocument.drawing+xml"/>
  <Override PartName="/xl/worksheets/sheet58.xml" ContentType="application/vnd.openxmlformats-officedocument.spreadsheetml.worksheet+xml"/>
  <Override PartName="/xl/drawings/drawing46.xml" ContentType="application/vnd.openxmlformats-officedocument.drawing+xml"/>
  <Override PartName="/xl/worksheets/sheet59.xml" ContentType="application/vnd.openxmlformats-officedocument.spreadsheetml.worksheet+xml"/>
  <Override PartName="/xl/drawings/drawing47.xml" ContentType="application/vnd.openxmlformats-officedocument.drawing+xml"/>
  <Override PartName="/xl/worksheets/sheet60.xml" ContentType="application/vnd.openxmlformats-officedocument.spreadsheetml.worksheet+xml"/>
  <Override PartName="/xl/drawings/drawing48.xml" ContentType="application/vnd.openxmlformats-officedocument.drawing+xml"/>
  <Override PartName="/xl/worksheets/sheet61.xml" ContentType="application/vnd.openxmlformats-officedocument.spreadsheetml.worksheet+xml"/>
  <Override PartName="/xl/drawings/drawing49.xml" ContentType="application/vnd.openxmlformats-officedocument.drawing+xml"/>
  <Override PartName="/xl/worksheets/sheet62.xml" ContentType="application/vnd.openxmlformats-officedocument.spreadsheetml.worksheet+xml"/>
  <Override PartName="/xl/drawings/drawing50.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drawings/drawing51.xml" ContentType="application/vnd.openxmlformats-officedocument.drawing+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0" windowWidth="4545" windowHeight="4995" tabRatio="604" firstSheet="1" activeTab="7"/>
  </bookViews>
  <sheets>
    <sheet name="Hoja15" sheetId="1" r:id="rId1"/>
    <sheet name="Hoja16" sheetId="2" r:id="rId2"/>
    <sheet name="Hoja17" sheetId="3" r:id="rId3"/>
    <sheet name="Hoja18" sheetId="4" r:id="rId4"/>
    <sheet name="Hoja19" sheetId="5" r:id="rId5"/>
    <sheet name="Hoja20" sheetId="6" r:id="rId6"/>
    <sheet name="Hoja21" sheetId="7" r:id="rId7"/>
    <sheet name="Hoja22" sheetId="8" r:id="rId8"/>
    <sheet name="Hoja23" sheetId="9" r:id="rId9"/>
    <sheet name="Hoja24" sheetId="10" r:id="rId10"/>
    <sheet name="Hoja25" sheetId="11" r:id="rId11"/>
    <sheet name="Hoja26" sheetId="12" r:id="rId12"/>
    <sheet name="Hoja27" sheetId="13" r:id="rId13"/>
    <sheet name="Hoja28" sheetId="14" r:id="rId14"/>
    <sheet name="Hoja29" sheetId="15" r:id="rId15"/>
    <sheet name="Hoja30" sheetId="16" r:id="rId16"/>
    <sheet name="Hoja31" sheetId="17" r:id="rId17"/>
    <sheet name="Hoja32" sheetId="18" r:id="rId18"/>
    <sheet name="Hoja33" sheetId="19" r:id="rId19"/>
    <sheet name="Hoja34" sheetId="20" r:id="rId20"/>
    <sheet name="Hoja35" sheetId="21" r:id="rId21"/>
    <sheet name="Hoja36" sheetId="22" r:id="rId22"/>
    <sheet name="Hoja37" sheetId="23" r:id="rId23"/>
    <sheet name="Hoja38" sheetId="24" r:id="rId24"/>
    <sheet name="Hoja39" sheetId="25" r:id="rId25"/>
    <sheet name="Hoja40" sheetId="26" r:id="rId26"/>
    <sheet name="Hoja41" sheetId="27" r:id="rId27"/>
    <sheet name="Hoja42" sheetId="28" r:id="rId28"/>
    <sheet name="Hoja43" sheetId="29" r:id="rId29"/>
    <sheet name="Hoja44" sheetId="30" r:id="rId30"/>
    <sheet name="Hoja45" sheetId="31" r:id="rId31"/>
    <sheet name="Hoja46" sheetId="32" r:id="rId32"/>
    <sheet name="Hoja47" sheetId="33" r:id="rId33"/>
    <sheet name="Hoja48" sheetId="34" r:id="rId34"/>
    <sheet name="Hoja49" sheetId="35" r:id="rId35"/>
    <sheet name="Hoja50" sheetId="36" r:id="rId36"/>
    <sheet name="Hoja51" sheetId="37" r:id="rId37"/>
    <sheet name="Hoja52" sheetId="38" r:id="rId38"/>
    <sheet name="Hoja53" sheetId="39" r:id="rId39"/>
    <sheet name="Hoja54" sheetId="40" r:id="rId40"/>
    <sheet name="Hoja55" sheetId="41" r:id="rId41"/>
    <sheet name="Hoja56" sheetId="42" r:id="rId42"/>
    <sheet name="Hoja57" sheetId="43" r:id="rId43"/>
    <sheet name="Hoja58" sheetId="44" r:id="rId44"/>
    <sheet name="Hoja59" sheetId="45" r:id="rId45"/>
    <sheet name="Hoja60" sheetId="46" r:id="rId46"/>
    <sheet name="Hoja61" sheetId="47" r:id="rId47"/>
    <sheet name="Hoja62" sheetId="48" r:id="rId48"/>
    <sheet name="Hoja63" sheetId="49" r:id="rId49"/>
    <sheet name="Hoja64" sheetId="50" r:id="rId50"/>
    <sheet name="Hoja65" sheetId="51" r:id="rId51"/>
    <sheet name="Hoja66" sheetId="52" r:id="rId52"/>
    <sheet name="Hoja67" sheetId="53" r:id="rId53"/>
    <sheet name="Hoja68" sheetId="54" r:id="rId54"/>
    <sheet name="Hoja69" sheetId="55" r:id="rId55"/>
    <sheet name="Hoja70" sheetId="56" r:id="rId56"/>
    <sheet name="Hoja71" sheetId="57" r:id="rId57"/>
    <sheet name="Hoja72" sheetId="58" r:id="rId58"/>
    <sheet name="Hoja73" sheetId="59" r:id="rId59"/>
    <sheet name="Hoja74" sheetId="60" r:id="rId60"/>
    <sheet name="Hoja75" sheetId="61" r:id="rId61"/>
    <sheet name="Hoja76" sheetId="62" r:id="rId62"/>
    <sheet name="Hoja77" sheetId="63" r:id="rId63"/>
    <sheet name="Hoja78" sheetId="64" r:id="rId64"/>
    <sheet name="Hoja79" sheetId="65" r:id="rId65"/>
    <sheet name="Hoja80" sheetId="66" r:id="rId66"/>
    <sheet name="Hoja81" sheetId="67" r:id="rId67"/>
    <sheet name="Hoja82" sheetId="68" r:id="rId68"/>
    <sheet name="Hoja90" sheetId="69" r:id="rId69"/>
    <sheet name="Hoja91" sheetId="70" r:id="rId70"/>
    <sheet name="Hoja92" sheetId="71" r:id="rId71"/>
    <sheet name="Hoja93" sheetId="72" r:id="rId72"/>
    <sheet name="Hoja94" sheetId="73" r:id="rId73"/>
    <sheet name="Hoja95" sheetId="74" r:id="rId74"/>
    <sheet name="Hoja96" sheetId="75" r:id="rId75"/>
    <sheet name="Hoja97" sheetId="76" r:id="rId76"/>
    <sheet name="Hoja98" sheetId="77" r:id="rId77"/>
    <sheet name="Hoja99" sheetId="78" r:id="rId78"/>
    <sheet name="Hoja100" sheetId="79" r:id="rId79"/>
    <sheet name="Hoja101" sheetId="80" r:id="rId80"/>
    <sheet name="Hoja102" sheetId="81" r:id="rId81"/>
    <sheet name="Hoja103" sheetId="82" r:id="rId82"/>
    <sheet name="Hoja104" sheetId="83" r:id="rId83"/>
    <sheet name="Hoja105" sheetId="84" r:id="rId84"/>
    <sheet name="Hoja106" sheetId="85" r:id="rId85"/>
    <sheet name="Hoja107" sheetId="86" r:id="rId86"/>
    <sheet name="Hoja108" sheetId="87" r:id="rId87"/>
    <sheet name="Hoja109" sheetId="88" r:id="rId88"/>
    <sheet name="Hoja110" sheetId="89" r:id="rId89"/>
    <sheet name="Hoja111" sheetId="90" r:id="rId90"/>
    <sheet name="Hoja112" sheetId="91" r:id="rId91"/>
    <sheet name="Hoja113" sheetId="92" r:id="rId92"/>
    <sheet name="Hoja114" sheetId="93" r:id="rId93"/>
    <sheet name="Hoja115" sheetId="94" r:id="rId94"/>
    <sheet name="Hoja116" sheetId="95" r:id="rId95"/>
  </sheets>
  <externalReferences>
    <externalReference r:id="rId98"/>
    <externalReference r:id="rId99"/>
    <externalReference r:id="rId100"/>
    <externalReference r:id="rId101"/>
    <externalReference r:id="rId102"/>
    <externalReference r:id="rId103"/>
    <externalReference r:id="rId104"/>
  </externalReferences>
  <definedNames>
    <definedName name="_xlnm.Print_Area" localSheetId="86">'Hoja108'!$A$1:$D$58</definedName>
    <definedName name="_xlnm.Print_Area" localSheetId="91">'Hoja113'!$A$1:$K$30</definedName>
    <definedName name="_xlnm.Print_Area" localSheetId="93">'Hoja115'!$A$1:$K$43</definedName>
    <definedName name="_xlnm.Print_Area" localSheetId="94">'Hoja116'!$A$1:$G$39</definedName>
    <definedName name="_xlnm.Print_Area" localSheetId="0">'Hoja15'!$A$1:$I$21</definedName>
    <definedName name="_xlnm.Print_Area" localSheetId="2">'Hoja17'!$A$1:$D$12</definedName>
    <definedName name="_xlnm.Print_Area" localSheetId="3">'Hoja18'!$A$1:$I$60</definedName>
    <definedName name="_xlnm.Print_Area" localSheetId="4">'Hoja19'!$A$1:$F$59</definedName>
    <definedName name="_xlnm.Print_Area" localSheetId="5">'Hoja20'!$A$1:$I$58</definedName>
    <definedName name="_xlnm.Print_Area" localSheetId="6">'Hoja21'!$A$1:$F$61</definedName>
    <definedName name="_xlnm.Print_Area" localSheetId="7">'Hoja22'!$A$1:$F$61</definedName>
    <definedName name="_xlnm.Print_Area" localSheetId="8">'Hoja23'!$A$1:$F$61</definedName>
    <definedName name="_xlnm.Print_Area" localSheetId="9">'Hoja24'!$A$1:$D$62</definedName>
    <definedName name="_xlnm.Print_Area" localSheetId="10">'Hoja25'!$A$1:$I$54</definedName>
    <definedName name="_xlnm.Print_Area" localSheetId="11">'Hoja26'!$A$1:$F$56</definedName>
    <definedName name="_xlnm.Print_Area" localSheetId="12">'Hoja27'!$A$1:$F$56</definedName>
    <definedName name="_xlnm.Print_Area" localSheetId="13">'Hoja28'!$A$1:$F$61</definedName>
    <definedName name="_xlnm.Print_Area" localSheetId="14">'Hoja29'!$A$1:$I$60</definedName>
    <definedName name="_xlnm.Print_Area" localSheetId="15">'Hoja30'!$A$1:$F$56</definedName>
    <definedName name="_xlnm.Print_Area" localSheetId="16">'Hoja31'!$A$1:$F$53</definedName>
    <definedName name="_xlnm.Print_Area" localSheetId="17">'Hoja32'!$A$1:$F$56</definedName>
    <definedName name="_xlnm.Print_Area" localSheetId="18">'Hoja33'!$A$1:$I$48</definedName>
    <definedName name="_xlnm.Print_Area" localSheetId="19">'Hoja34'!$A$1:$F$54</definedName>
    <definedName name="_xlnm.Print_Area" localSheetId="20">'Hoja35'!$A$1:$I$53</definedName>
    <definedName name="_xlnm.Print_Area" localSheetId="21">'Hoja36'!$A$1:$F$56</definedName>
    <definedName name="_xlnm.Print_Area" localSheetId="24">'Hoja39'!$A$1:$I$53</definedName>
    <definedName name="_xlnm.Print_Area" localSheetId="25">'Hoja40'!$A$1:$F$51</definedName>
    <definedName name="_xlnm.Print_Area" localSheetId="26">'Hoja41'!$A$1:$F$33</definedName>
    <definedName name="_xlnm.Print_Area" localSheetId="27">'Hoja42'!$A$1:$I$49</definedName>
    <definedName name="_xlnm.Print_Area" localSheetId="28">'Hoja43'!$A$1:$F$49</definedName>
    <definedName name="_xlnm.Print_Area" localSheetId="29">'Hoja44'!$A$1:$D$12</definedName>
    <definedName name="_xlnm.Print_Area" localSheetId="30">'Hoja45'!$A$1:$F$28</definedName>
    <definedName name="_xlnm.Print_Area" localSheetId="31">'Hoja46'!$A$1:$F$29</definedName>
    <definedName name="_xlnm.Print_Area" localSheetId="33">'Hoja48'!$A$1:$F$58</definedName>
    <definedName name="_xlnm.Print_Area" localSheetId="34">'Hoja49'!$A$1:$C$35</definedName>
    <definedName name="_xlnm.Print_Area" localSheetId="35">'Hoja50'!$A$1:$F$39</definedName>
    <definedName name="_xlnm.Print_Area" localSheetId="36">'Hoja51'!$A$1:$F$46</definedName>
    <definedName name="_xlnm.Print_Area" localSheetId="37">'Hoja52'!$A$1:$F$52</definedName>
    <definedName name="_xlnm.Print_Area" localSheetId="38">'Hoja53'!$A$1:$F$58</definedName>
    <definedName name="_xlnm.Print_Area" localSheetId="40">'Hoja55'!$A$1:$F$42</definedName>
    <definedName name="_xlnm.Print_Area" localSheetId="41">'Hoja56'!$A$1:$F$53</definedName>
    <definedName name="_xlnm.Print_Area" localSheetId="45">'Hoja60'!$A$1:$F$54</definedName>
    <definedName name="_xlnm.Print_Area" localSheetId="46">'Hoja61'!$A$1:$F$55</definedName>
    <definedName name="_xlnm.Print_Area" localSheetId="47">'Hoja62'!$A$1:$F$54</definedName>
    <definedName name="_xlnm.Print_Area" localSheetId="48">'Hoja63'!$A$1:$F$43</definedName>
    <definedName name="_xlnm.Print_Area" localSheetId="49">'Hoja64'!$A$1:$F$46</definedName>
    <definedName name="_xlnm.Print_Area" localSheetId="50">'Hoja65'!$A$1:$F$54</definedName>
    <definedName name="_xlnm.Print_Area" localSheetId="51">'Hoja66'!$A$1:$F$52</definedName>
    <definedName name="_xlnm.Print_Area" localSheetId="52">'Hoja67'!$A$1:$F$43</definedName>
    <definedName name="_xlnm.Print_Area" localSheetId="53">'Hoja68'!$A$1:$F$54</definedName>
    <definedName name="_xlnm.Print_Area" localSheetId="54">'Hoja69'!$A$1:$F$53</definedName>
    <definedName name="_xlnm.Print_Area" localSheetId="56">'Hoja71'!$A$1:$F$48</definedName>
    <definedName name="_xlnm.Print_Area" localSheetId="57">'Hoja72'!$A$1:$F$52</definedName>
    <definedName name="_xlnm.Print_Area" localSheetId="59">'Hoja74'!$A$1:$F$59</definedName>
    <definedName name="_xlnm.Print_Area" localSheetId="61">'Hoja76'!$A$1:$F$55</definedName>
    <definedName name="_xlnm.Print_Area" localSheetId="62">'Hoja77'!$A$1:$I$60</definedName>
    <definedName name="_xlnm.Print_Area" localSheetId="64">'Hoja79'!$A$1:$G$50</definedName>
    <definedName name="_xlnm.Print_Area" localSheetId="66">'Hoja81'!$A$1:$I$46</definedName>
    <definedName name="_xlnm.Print_Area" localSheetId="69">'Hoja91'!$A$1:$I$43</definedName>
    <definedName name="_xlnm.Print_Area" localSheetId="71">'Hoja93'!$A$1:$F$55</definedName>
    <definedName name="_xlnm.Print_Area" localSheetId="72">'Hoja94'!$A$1:$F$48</definedName>
    <definedName name="_xlnm.Print_Area" localSheetId="73">'Hoja95'!$A$1:$F$54</definedName>
    <definedName name="_xlnm.Print_Area" localSheetId="74">'Hoja96'!$A$1:$F$51</definedName>
    <definedName name="_xlnm.Print_Area" localSheetId="75">'Hoja97'!$A$1:$F$48</definedName>
    <definedName name="_xlnm.Print_Area" localSheetId="76">'Hoja98'!$A$1:$F$25</definedName>
    <definedName name="_xlnm.Print_Area" localSheetId="77">'Hoja99'!$A$1:$I$51</definedName>
    <definedName name="DADOS00" localSheetId="78">'[4]Plan3'!$A$1:$C$34</definedName>
    <definedName name="DADOS00" localSheetId="92">'[4]Plan3'!$A$1:$C$34</definedName>
    <definedName name="DADOS00" localSheetId="1">'[4]Plan3'!$A$1:$C$34</definedName>
    <definedName name="DADOS00" localSheetId="43">'[4]Plan3'!$A$1:$C$34</definedName>
    <definedName name="DADOS00" localSheetId="63">'[4]Plan3'!$A$1:$C$34</definedName>
    <definedName name="DADOS00" localSheetId="65">'[4]Plan3'!$A$1:$C$34</definedName>
    <definedName name="DADOS00" localSheetId="67">'[4]Plan3'!$A$1:$C$34</definedName>
    <definedName name="DADOS00" localSheetId="68">'[4]Plan3'!$A$1:$C$34</definedName>
    <definedName name="DADOS00" localSheetId="70">'[4]Plan3'!$A$1:$C$34</definedName>
    <definedName name="DADOS00">'[3]Plan3'!$A$1:$C$34</definedName>
    <definedName name="HTML_CodePage" hidden="1">1252</definedName>
    <definedName name="HTML_Control" localSheetId="78" hidden="1">{"'Hoja64'!$A$1:$G$55"}</definedName>
    <definedName name="HTML_Control" localSheetId="92" hidden="1">{"'Hoja64'!$A$1:$G$55"}</definedName>
    <definedName name="HTML_Control" localSheetId="0" hidden="1">{"'Hoja64'!$A$1:$G$55"}</definedName>
    <definedName name="HTML_Control" localSheetId="1" hidden="1">{"'Hoja64'!$A$1:$G$55"}</definedName>
    <definedName name="HTML_Control" localSheetId="2" hidden="1">{"'Hoja64'!$A$1:$G$55"}</definedName>
    <definedName name="HTML_Control" localSheetId="3" hidden="1">{"'Hoja64'!$A$1:$G$55"}</definedName>
    <definedName name="HTML_Control" localSheetId="4" hidden="1">{"'Hoja64'!$A$1:$G$55"}</definedName>
    <definedName name="HTML_Control" localSheetId="5" hidden="1">{"'Hoja64'!$A$1:$G$55"}</definedName>
    <definedName name="HTML_Control" localSheetId="6" hidden="1">{"'Hoja64'!$A$1:$G$55"}</definedName>
    <definedName name="HTML_Control" localSheetId="7" hidden="1">{"'Hoja64'!$A$1:$G$55"}</definedName>
    <definedName name="HTML_Control" localSheetId="8" hidden="1">{"'Hoja64'!$A$1:$G$55"}</definedName>
    <definedName name="HTML_Control" localSheetId="9" hidden="1">{"'Hoja64'!$A$1:$G$55"}</definedName>
    <definedName name="HTML_Control" localSheetId="10" hidden="1">{"'Hoja64'!$A$1:$G$55"}</definedName>
    <definedName name="HTML_Control" localSheetId="11" hidden="1">{"'Hoja64'!$A$1:$G$55"}</definedName>
    <definedName name="HTML_Control" localSheetId="12" hidden="1">{"'Hoja64'!$A$1:$G$55"}</definedName>
    <definedName name="HTML_Control" localSheetId="13" hidden="1">{"'Hoja64'!$A$1:$G$55"}</definedName>
    <definedName name="HTML_Control" localSheetId="14" hidden="1">{"'Hoja64'!$A$1:$G$55"}</definedName>
    <definedName name="HTML_Control" localSheetId="15" hidden="1">{"'Hoja64'!$A$1:$G$55"}</definedName>
    <definedName name="HTML_Control" localSheetId="16" hidden="1">{"'Hoja64'!$A$1:$G$55"}</definedName>
    <definedName name="HTML_Control" localSheetId="17" hidden="1">{"'Hoja64'!$A$1:$G$55"}</definedName>
    <definedName name="HTML_Control" localSheetId="18" hidden="1">{"'Hoja64'!$A$1:$G$55"}</definedName>
    <definedName name="HTML_Control" localSheetId="19" hidden="1">{"'Hoja64'!$A$1:$G$55"}</definedName>
    <definedName name="HTML_Control" localSheetId="20" hidden="1">{"'Hoja64'!$A$1:$G$55"}</definedName>
    <definedName name="HTML_Control" localSheetId="21" hidden="1">{"'Hoja64'!$A$1:$G$55"}</definedName>
    <definedName name="HTML_Control" localSheetId="22" hidden="1">{"'Hoja64'!$A$1:$G$55"}</definedName>
    <definedName name="HTML_Control" localSheetId="23" hidden="1">{"'Hoja64'!$A$1:$G$55"}</definedName>
    <definedName name="HTML_Control" localSheetId="24" hidden="1">{"'Hoja64'!$A$1:$G$55"}</definedName>
    <definedName name="HTML_Control" localSheetId="25" hidden="1">{"'Hoja64'!$A$1:$G$55"}</definedName>
    <definedName name="HTML_Control" localSheetId="26" hidden="1">{"'Hoja64'!$A$1:$G$55"}</definedName>
    <definedName name="HTML_Control" localSheetId="27" hidden="1">{"'Hoja64'!$A$1:$G$55"}</definedName>
    <definedName name="HTML_Control" localSheetId="28" hidden="1">{"'Hoja64'!$A$1:$G$55"}</definedName>
    <definedName name="HTML_Control" localSheetId="29" hidden="1">{"'Hoja64'!$A$1:$G$55"}</definedName>
    <definedName name="HTML_Control" localSheetId="30" hidden="1">{"'Hoja64'!$A$1:$G$55"}</definedName>
    <definedName name="HTML_Control" localSheetId="31" hidden="1">{"'Hoja64'!$A$1:$G$55"}</definedName>
    <definedName name="HTML_Control" localSheetId="32" hidden="1">{"'Hoja64'!$A$1:$G$55"}</definedName>
    <definedName name="HTML_Control" localSheetId="33" hidden="1">{"'Hoja64'!$A$1:$G$55"}</definedName>
    <definedName name="HTML_Control" localSheetId="34" hidden="1">{"'Hoja64'!$A$1:$G$55"}</definedName>
    <definedName name="HTML_Control" localSheetId="35" hidden="1">{"'Hoja64'!$A$1:$G$55"}</definedName>
    <definedName name="HTML_Control" localSheetId="36" hidden="1">{"'Hoja64'!$A$1:$G$55"}</definedName>
    <definedName name="HTML_Control" localSheetId="37" hidden="1">{"'Hoja64'!$A$1:$G$55"}</definedName>
    <definedName name="HTML_Control" localSheetId="38" hidden="1">{"'Hoja64'!$A$1:$G$55"}</definedName>
    <definedName name="HTML_Control" localSheetId="39" hidden="1">{"'Hoja64'!$A$1:$G$55"}</definedName>
    <definedName name="HTML_Control" localSheetId="40" hidden="1">{"'Hoja64'!$A$1:$G$55"}</definedName>
    <definedName name="HTML_Control" localSheetId="41" hidden="1">{"'Hoja64'!$A$1:$G$55"}</definedName>
    <definedName name="HTML_Control" localSheetId="42" hidden="1">{"'Hoja64'!$A$1:$G$55"}</definedName>
    <definedName name="HTML_Control" localSheetId="43" hidden="1">{"'Hoja64'!$A$1:$G$55"}</definedName>
    <definedName name="HTML_Control" localSheetId="44" hidden="1">{"'Hoja64'!$A$1:$G$55"}</definedName>
    <definedName name="HTML_Control" localSheetId="45" hidden="1">{"'Hoja64'!$A$1:$G$55"}</definedName>
    <definedName name="HTML_Control" localSheetId="46" hidden="1">{"'Hoja64'!$A$1:$G$55"}</definedName>
    <definedName name="HTML_Control" localSheetId="47" hidden="1">{"'Hoja64'!$A$1:$G$55"}</definedName>
    <definedName name="HTML_Control" localSheetId="48" hidden="1">{"'Hoja64'!$A$1:$G$55"}</definedName>
    <definedName name="HTML_Control" localSheetId="49" hidden="1">{"'Hoja64'!$A$1:$G$55"}</definedName>
    <definedName name="HTML_Control" localSheetId="51" hidden="1">{"'Hoja64'!$A$1:$G$55"}</definedName>
    <definedName name="HTML_Control" localSheetId="52" hidden="1">{"'Hoja64'!$A$1:$G$55"}</definedName>
    <definedName name="HTML_Control" localSheetId="53" hidden="1">{"'Hoja64'!$A$1:$G$55"}</definedName>
    <definedName name="HTML_Control" localSheetId="54" hidden="1">{"'Hoja64'!$A$1:$G$55"}</definedName>
    <definedName name="HTML_Control" localSheetId="55" hidden="1">{"'Hoja64'!$A$1:$G$55"}</definedName>
    <definedName name="HTML_Control" localSheetId="56" hidden="1">{"'Hoja64'!$A$1:$G$55"}</definedName>
    <definedName name="HTML_Control" localSheetId="57" hidden="1">{"'Hoja64'!$A$1:$G$55"}</definedName>
    <definedName name="HTML_Control" localSheetId="58" hidden="1">{"'Hoja64'!$A$1:$G$55"}</definedName>
    <definedName name="HTML_Control" localSheetId="59" hidden="1">{"'Hoja64'!$A$1:$G$55"}</definedName>
    <definedName name="HTML_Control" localSheetId="60" hidden="1">{"'Hoja64'!$A$1:$G$55"}</definedName>
    <definedName name="HTML_Control" localSheetId="61" hidden="1">{"'Hoja64'!$A$1:$G$55"}</definedName>
    <definedName name="HTML_Control" localSheetId="62" hidden="1">{"'Hoja64'!$A$1:$G$55"}</definedName>
    <definedName name="HTML_Control" localSheetId="63" hidden="1">{"'Hoja64'!$A$1:$G$55"}</definedName>
    <definedName name="HTML_Control" localSheetId="64" hidden="1">{"'Hoja64'!$A$1:$G$55"}</definedName>
    <definedName name="HTML_Control" localSheetId="65" hidden="1">{"'Hoja64'!$A$1:$G$55"}</definedName>
    <definedName name="HTML_Control" localSheetId="67" hidden="1">{"'Hoja64'!$A$1:$G$55"}</definedName>
    <definedName name="HTML_Control" localSheetId="68" hidden="1">{"'Hoja64'!$A$1:$G$55"}</definedName>
    <definedName name="HTML_Control" localSheetId="70" hidden="1">{"'Hoja64'!$A$1:$G$55"}</definedName>
    <definedName name="HTML_Control" hidden="1">{"'Hoja64'!$A$1:$G$55"}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"C:\fiapnew\estadist\hoja64.htm"</definedName>
    <definedName name="HTML_Title" hidden="1">""</definedName>
  </definedNames>
  <calcPr fullCalcOnLoad="1"/>
</workbook>
</file>

<file path=xl/sharedStrings.xml><?xml version="1.0" encoding="utf-8"?>
<sst xmlns="http://schemas.openxmlformats.org/spreadsheetml/2006/main" count="3833" uniqueCount="1175">
  <si>
    <r>
      <t xml:space="preserve">Por Decreto N° 1495/01, del mes de noviembre de 2001, se estableció que la comisión por aportes obligatorios sólo podrá establecerse como un porcentaje de la base imponible que le dio origen, lo que implica la eliminación de las comisiones fijas / </t>
    </r>
    <r>
      <rPr>
        <i/>
        <sz val="9"/>
        <color indexed="21"/>
        <rFont val="Times New Roman"/>
        <family val="1"/>
      </rPr>
      <t>Decree N° 1495/01, of November 2001, established that commission by mandatory contribution only could be established as a percentage of taxable base, this mean the elimination of fixed commissions.</t>
    </r>
  </si>
  <si>
    <r>
      <t xml:space="preserve">(*) Para el cálculo de esta comisión se considera el fondo acumulado por cada administradora sumando el Fondo de Capitalización Individual (FCI) y el Fondo de Capitalización Colectiva (FCC) / </t>
    </r>
    <r>
      <rPr>
        <i/>
        <sz val="9"/>
        <color indexed="21"/>
        <rFont val="Times New Roman"/>
        <family val="1"/>
      </rPr>
      <t>To calculate this commission is considered the funds accumulated by each administrator in the Individual Capitalization Fund and the Collective Capitalization Fund.</t>
    </r>
  </si>
  <si>
    <r>
      <t xml:space="preserve">NOTA: La Ley del Sistema de Ahorro para Pensiones establece, para los años 1999 y 2000, una comisión total máxima de 3,25%, y a partir del año 2001, la comisión máxima que pueden cobrar a sus afiliados es de 3,0% / </t>
    </r>
    <r>
      <rPr>
        <i/>
        <sz val="9"/>
        <color indexed="21"/>
        <rFont val="Times New Roman"/>
        <family val="1"/>
      </rPr>
      <t>Law of Save to Pensions System establish, to years 1999 and 2000, a total maximum commission of 3,25%, and from year 2001, the commission can be 3,0%.</t>
    </r>
  </si>
  <si>
    <r>
      <t xml:space="preserve">(*) No hay un porcentaje destinado al pago de la prima a una Cía. de Seguros, porque el Seguro de Invalidez y Sobrevivencia es administrado por el Instituto Mexicano del Seguro Social (IMSS) / </t>
    </r>
    <r>
      <rPr>
        <i/>
        <sz val="10"/>
        <color indexed="21"/>
        <rFont val="Times New Roman"/>
        <family val="1"/>
      </rPr>
      <t>There are not a percentage to pay the prima to a Insurance Co., because the Disability and Survival Insurance is managed by the Mexican Institute of Social Security (IMSS).</t>
    </r>
  </si>
  <si>
    <r>
      <t xml:space="preserve">Fuente / </t>
    </r>
    <r>
      <rPr>
        <b/>
        <i/>
        <sz val="9"/>
        <color indexed="21"/>
        <rFont val="Times New Roman"/>
        <family val="1"/>
      </rPr>
      <t>Source:</t>
    </r>
    <r>
      <rPr>
        <b/>
        <i/>
        <sz val="9"/>
        <rFont val="Times New Roman"/>
        <family val="1"/>
      </rPr>
      <t xml:space="preserve"> </t>
    </r>
    <r>
      <rPr>
        <b/>
        <sz val="9"/>
        <rFont val="Times New Roman"/>
        <family val="1"/>
      </rPr>
      <t xml:space="preserve">Memoria Trimestral SAFJP N° 34 / </t>
    </r>
    <r>
      <rPr>
        <b/>
        <i/>
        <sz val="9"/>
        <color indexed="21"/>
        <rFont val="Times New Roman"/>
        <family val="1"/>
      </rPr>
      <t>Quarterly Report SAFJP N° 34</t>
    </r>
  </si>
  <si>
    <t>III.- INFORMACION ECONOMICA RELEVANTE POR PAIS</t>
  </si>
  <si>
    <r>
      <t xml:space="preserve">(1) PIB al 30.09.2002 y 30.09.2001. Población, PEA y tasa de desempleo al 31.10.2002 y 30.10.2001 / </t>
    </r>
    <r>
      <rPr>
        <i/>
        <sz val="9"/>
        <color indexed="21"/>
        <rFont val="Times New Roman"/>
        <family val="1"/>
      </rPr>
      <t>PBI as of 09.30.2002 and 09.30.2001. Population, EAP and Unemployment Rate as of 10.31.2002 and 10.31.2001.</t>
    </r>
  </si>
  <si>
    <r>
      <t xml:space="preserve">(2) Información al 30.06.2002 y 30.06.2001 / </t>
    </r>
    <r>
      <rPr>
        <i/>
        <sz val="9"/>
        <color indexed="21"/>
        <rFont val="Times New Roman"/>
        <family val="1"/>
      </rPr>
      <t>Information as of 06.30.2002 and 06.30.2001</t>
    </r>
  </si>
  <si>
    <r>
      <t xml:space="preserve">(3) PIB al 30.09.2002 y 31.12.2001 / </t>
    </r>
    <r>
      <rPr>
        <i/>
        <sz val="9"/>
        <color indexed="21"/>
        <rFont val="Times New Roman"/>
        <family val="1"/>
      </rPr>
      <t>PBI as of 09.30.2002 and 12.31.2001</t>
    </r>
  </si>
  <si>
    <r>
      <t xml:space="preserve">(4) PIB promedio estimado. PEA al 31.12.2001 y 31.12.2000 / </t>
    </r>
    <r>
      <rPr>
        <i/>
        <sz val="9"/>
        <color indexed="21"/>
        <rFont val="Times New Roman"/>
        <family val="1"/>
      </rPr>
      <t>PBI avergae estimated. EAP as of 12.31.2001 and 12.31.2000</t>
    </r>
  </si>
  <si>
    <r>
      <t xml:space="preserve">(1) AFP Profuturo se autoasegura con un fondo de reserva propio equivalente al 1,5% de la comisión / </t>
    </r>
    <r>
      <rPr>
        <i/>
        <sz val="9"/>
        <color indexed="21"/>
        <rFont val="Times New Roman"/>
        <family val="1"/>
      </rPr>
      <t>AFP Profuturo has its own reserve fund equivalent to 1,5% of commission as a insurance.</t>
    </r>
  </si>
  <si>
    <r>
      <t xml:space="preserve">Fuente / </t>
    </r>
    <r>
      <rPr>
        <b/>
        <sz val="9"/>
        <color indexed="21"/>
        <rFont val="Times New Roman"/>
        <family val="1"/>
      </rPr>
      <t xml:space="preserve">Source: </t>
    </r>
    <r>
      <rPr>
        <b/>
        <sz val="9"/>
        <rFont val="Times New Roman"/>
        <family val="1"/>
      </rPr>
      <t xml:space="preserve">Administradoras de Fondos de Inversión y Fideicomisos del Ecuador / </t>
    </r>
    <r>
      <rPr>
        <b/>
        <i/>
        <sz val="9"/>
        <color indexed="21"/>
        <rFont val="Times New Roman"/>
        <family val="1"/>
      </rPr>
      <t xml:space="preserve"> Investment and Fideicomisos Fund Administrators.</t>
    </r>
  </si>
  <si>
    <t>ESTRUCTURA DE COMISIONES AL 31.12.2001</t>
  </si>
  <si>
    <t>COMMISSION STRUCTURE AS OF 12.31.2001</t>
  </si>
  <si>
    <t>2,50 - 1,00</t>
  </si>
  <si>
    <t>3,00 - 1,00</t>
  </si>
  <si>
    <t>Credicorp CFPC</t>
  </si>
  <si>
    <r>
      <t xml:space="preserve">Progreso </t>
    </r>
    <r>
      <rPr>
        <sz val="8"/>
        <rFont val="Times New Roman"/>
        <family val="1"/>
      </rPr>
      <t>(SIACAP)</t>
    </r>
  </si>
  <si>
    <r>
      <t xml:space="preserve">Progreso </t>
    </r>
    <r>
      <rPr>
        <sz val="8"/>
        <rFont val="Times New Roman"/>
        <family val="1"/>
      </rPr>
      <t>(Pensiones y Cesantías)</t>
    </r>
  </si>
  <si>
    <r>
      <t>Profuturo</t>
    </r>
    <r>
      <rPr>
        <sz val="8"/>
        <rFont val="Times New Roman"/>
        <family val="1"/>
      </rPr>
      <t xml:space="preserve"> (SIACAP)</t>
    </r>
  </si>
  <si>
    <r>
      <t xml:space="preserve">Profuturo </t>
    </r>
    <r>
      <rPr>
        <sz val="8"/>
        <rFont val="Times New Roman"/>
        <family val="1"/>
      </rPr>
      <t>(Pensiones y Cesantías)</t>
    </r>
  </si>
  <si>
    <r>
      <t xml:space="preserve">Horizonte </t>
    </r>
    <r>
      <rPr>
        <sz val="8"/>
        <rFont val="Times New Roman"/>
        <family val="1"/>
      </rPr>
      <t>(SIACAP)</t>
    </r>
  </si>
  <si>
    <r>
      <t>Seguro Social</t>
    </r>
    <r>
      <rPr>
        <sz val="8"/>
        <rFont val="Times New Roman"/>
        <family val="1"/>
      </rPr>
      <t xml:space="preserve"> (SIACAP)</t>
    </r>
  </si>
  <si>
    <r>
      <t xml:space="preserve">Fuente / </t>
    </r>
    <r>
      <rPr>
        <b/>
        <sz val="9"/>
        <color indexed="21"/>
        <rFont val="Times New Roman"/>
        <family val="1"/>
      </rPr>
      <t xml:space="preserve">Source: </t>
    </r>
    <r>
      <rPr>
        <b/>
        <sz val="9"/>
        <rFont val="Times New Roman"/>
        <family val="1"/>
      </rPr>
      <t>AFP Progreso.</t>
    </r>
  </si>
  <si>
    <r>
      <t xml:space="preserve">Las comisiones se calculan sobre la base de los salarios mensuales. / </t>
    </r>
    <r>
      <rPr>
        <i/>
        <sz val="9"/>
        <color indexed="21"/>
        <rFont val="Times New Roman"/>
        <family val="1"/>
      </rPr>
      <t>Commissions are calculated over the monthly salaries</t>
    </r>
  </si>
  <si>
    <r>
      <t xml:space="preserve">La prima del Seguro de Invalidez y Sobrevivencia tiene un tope de aproximadamente US$ 1.600 / </t>
    </r>
    <r>
      <rPr>
        <i/>
        <sz val="9"/>
        <color indexed="21"/>
        <rFont val="Times New Roman"/>
        <family val="1"/>
      </rPr>
      <t>The Disability and Survivorship Insurance Premium has a top of US$ 1.600</t>
    </r>
  </si>
  <si>
    <t xml:space="preserve">Afinidad </t>
  </si>
  <si>
    <t xml:space="preserve">UniónCapital </t>
  </si>
  <si>
    <r>
      <t xml:space="preserve">Fuente / </t>
    </r>
    <r>
      <rPr>
        <b/>
        <i/>
        <sz val="9"/>
        <color indexed="21"/>
        <rFont val="Times New Roman"/>
        <family val="1"/>
      </rPr>
      <t>Source:</t>
    </r>
    <r>
      <rPr>
        <b/>
        <sz val="9"/>
        <color indexed="21"/>
        <rFont val="Times New Roman"/>
        <family val="1"/>
      </rPr>
      <t xml:space="preserve"> </t>
    </r>
    <r>
      <rPr>
        <b/>
        <sz val="9"/>
        <rFont val="Times New Roman"/>
        <family val="1"/>
      </rPr>
      <t>República AFAP</t>
    </r>
  </si>
  <si>
    <r>
      <t xml:space="preserve">Las comisiones se calculan en base al salario / </t>
    </r>
    <r>
      <rPr>
        <i/>
        <sz val="9"/>
        <color indexed="21"/>
        <rFont val="Times New Roman"/>
        <family val="1"/>
      </rPr>
      <t>Commissions are calculated over salary</t>
    </r>
  </si>
  <si>
    <t>PARTICIPACION ACCIONARIA DE LAS ADMINISTRADORAS AL 31.12.2002</t>
  </si>
  <si>
    <t>SHAREHOLDING STRUCTURE OF ADMINISTRATORS AS OF 12.31.2002</t>
  </si>
  <si>
    <t>OSDE</t>
  </si>
  <si>
    <t>BBVA Banco Francés S.A.</t>
  </si>
  <si>
    <t>Fed. Arg. de Trab. de Luz y Fuerza</t>
  </si>
  <si>
    <t>Banco B. I. Creditanstalt S.A.</t>
  </si>
  <si>
    <t>Banco Bilbao Vizcaya Argentaria</t>
  </si>
  <si>
    <t>Fed. Nac. Trab. de  Obras Sanitarias</t>
  </si>
  <si>
    <t>Sindicato del Seguro de la R. Arg.</t>
  </si>
  <si>
    <t>Sindicato Unico de Trab. del Estado de la Ciudad de Bs Aires</t>
  </si>
  <si>
    <t>HSBC Chacabuco Inversiones</t>
  </si>
  <si>
    <t>Metropolitan Life Seg. de Vida</t>
  </si>
  <si>
    <t>Banco de la Nación Argentina</t>
  </si>
  <si>
    <t>New York Life International Inc.</t>
  </si>
  <si>
    <t>Metropolitan Life Seg. de Retiro</t>
  </si>
  <si>
    <t>Fundación Bco. de la N. Argentina</t>
  </si>
  <si>
    <t>HSBC Bank Argentina S.A.</t>
  </si>
  <si>
    <t>HSBC La Bs. As. Seguros. S.A.</t>
  </si>
  <si>
    <t>HSBC Salud Argentina S.A.</t>
  </si>
  <si>
    <t>Ataide, Oscar Alejandro</t>
  </si>
  <si>
    <t>Bank of Boston AIG Co.</t>
  </si>
  <si>
    <t>Grupo Previsional Cooperativo Diacronos S.A.</t>
  </si>
  <si>
    <t>Consejo Prof. de Cs. Eco. Ciudad A. BA</t>
  </si>
  <si>
    <t>Adm. Bcos. Lat. Santander</t>
  </si>
  <si>
    <t>CNP Assurances S.A.</t>
  </si>
  <si>
    <t>Mutual del Fondo Compensador para Jub. y Pen. de Personal Civil FFAA</t>
  </si>
  <si>
    <t>Grupo BAPRO S.A.</t>
  </si>
  <si>
    <t>Mutualidad Fondo Comp. Pers. Civil del Ejér. Y Gendarmería Nacional</t>
  </si>
  <si>
    <t>Provincia Seguros S.A.</t>
  </si>
  <si>
    <t>Fund. Fondo Compensador Móvil</t>
  </si>
  <si>
    <t>Holbah Merchant Co. Ltd.</t>
  </si>
  <si>
    <t>Banco San Luis S.A. Bco. Com. Minorista</t>
  </si>
  <si>
    <t>Banco Río de la Plata  S.A.</t>
  </si>
  <si>
    <t>Provincia de San Luis</t>
  </si>
  <si>
    <t>Emprendimiento Compartido S.A.</t>
  </si>
  <si>
    <t>Cía. Previsional Citi S.A.</t>
  </si>
  <si>
    <t>Probenefit S.A.</t>
  </si>
  <si>
    <t>Profuturo Cía. de Seguros de Retiro S.A</t>
  </si>
  <si>
    <t>Citicard S.A.</t>
  </si>
  <si>
    <t>Asociación Mutual Sancor</t>
  </si>
  <si>
    <t>Asociación Mutual Pnal. Sancor</t>
  </si>
  <si>
    <t>Sancor  Coop. de Seguros Ltda.</t>
  </si>
  <si>
    <t>Uncoga Fed. Coop. Agrop. Coop. Ltda.</t>
  </si>
  <si>
    <t>Asoc. de Trab. Ind. Lechera R.A</t>
  </si>
  <si>
    <t>Asoc. Mutual Social y D. Rafaela</t>
  </si>
  <si>
    <r>
      <t xml:space="preserve">Accionistas / </t>
    </r>
    <r>
      <rPr>
        <b/>
        <i/>
        <sz val="9"/>
        <color indexed="21"/>
        <rFont val="Times New Roman"/>
        <family val="1"/>
      </rPr>
      <t>Shareholders</t>
    </r>
  </si>
  <si>
    <t>Zurich South América Invest LTD</t>
  </si>
  <si>
    <t>Banco Bilbao Viscaya Argentaria</t>
  </si>
  <si>
    <t>SIDESA</t>
  </si>
  <si>
    <t>Bienestar Incorporated</t>
  </si>
  <si>
    <t>La Boliviana Ciacruz Seguros Personales S.A.</t>
  </si>
  <si>
    <t>BBV Pensiones S.A.</t>
  </si>
  <si>
    <t>Fortaleza I.H.C.</t>
  </si>
  <si>
    <t>Larga Vida S.A.</t>
  </si>
  <si>
    <t>Alianza S.A.</t>
  </si>
  <si>
    <t>Rutolur S.A.</t>
  </si>
  <si>
    <t>Murzier Corp S.A.</t>
  </si>
  <si>
    <t>Compañía Semilux S.A.</t>
  </si>
  <si>
    <r>
      <t xml:space="preserve">Fuente / </t>
    </r>
    <r>
      <rPr>
        <b/>
        <i/>
        <sz val="9"/>
        <color indexed="21"/>
        <rFont val="Times New Roman"/>
        <family val="1"/>
      </rPr>
      <t xml:space="preserve">Source: </t>
    </r>
    <r>
      <rPr>
        <b/>
        <sz val="9"/>
        <rFont val="Times New Roman"/>
        <family val="1"/>
      </rPr>
      <t>Futuro de Bolivia AFP</t>
    </r>
  </si>
  <si>
    <t>Pension Assurance Company "Doverie"</t>
  </si>
  <si>
    <t>Bulgarian Insurance and Pension Holding AD</t>
  </si>
  <si>
    <t>"Orel Invest Holding" AD</t>
  </si>
  <si>
    <t>Confederation of Independent Trade Unions in Bulgaria</t>
  </si>
  <si>
    <t>"Orel - G Holding" AD</t>
  </si>
  <si>
    <t>Five Branch Federations</t>
  </si>
  <si>
    <t>Bulgarian Industrial Association</t>
  </si>
  <si>
    <t>Insurance Company "Vitosha" AD</t>
  </si>
  <si>
    <t>"Bulbank" AD Commercial Bank</t>
  </si>
  <si>
    <t>"Holding - Center" AD</t>
  </si>
  <si>
    <t>Other</t>
  </si>
  <si>
    <t>Bulgarian Pension Insurance Company</t>
  </si>
  <si>
    <t xml:space="preserve"> Saving Cooperative Pension Security Company "Rodina"</t>
  </si>
  <si>
    <t>Bulgarian-American Enterprise Fund</t>
  </si>
  <si>
    <t>"DZI" - State Insurance Institute</t>
  </si>
  <si>
    <t>Bank "DSK"</t>
  </si>
  <si>
    <t>Others</t>
  </si>
  <si>
    <t>Central Cooperative Union</t>
  </si>
  <si>
    <t>"Allianz  Bulgaria Holding"</t>
  </si>
  <si>
    <t>ING Continental Europe Holding</t>
  </si>
  <si>
    <t>National Electric Company</t>
  </si>
  <si>
    <t>"Doverie - Capital"</t>
  </si>
  <si>
    <t>"Newton Financial Management BG"</t>
  </si>
  <si>
    <t>"Lukoil - Bulgaria"</t>
  </si>
  <si>
    <t xml:space="preserve">"Lukoil Neftochim - Bourgas" AD </t>
  </si>
  <si>
    <r>
      <t xml:space="preserve">Fuente / </t>
    </r>
    <r>
      <rPr>
        <b/>
        <sz val="9"/>
        <color indexed="21"/>
        <rFont val="Times New Roman"/>
        <family val="1"/>
      </rPr>
      <t xml:space="preserve">Source: </t>
    </r>
    <r>
      <rPr>
        <b/>
        <sz val="9"/>
        <rFont val="Times New Roman"/>
        <family val="1"/>
      </rPr>
      <t>State Insurance Supervision Agency, SISA</t>
    </r>
  </si>
  <si>
    <t>PARTICIPACION ACCIONARIA DE LAS ADMINISTRADORAS AL 30.06.2002</t>
  </si>
  <si>
    <t>SHAREHOLDING STRUCTURE OF ADMINISTRATORS AS OF 06.30.2002</t>
  </si>
  <si>
    <t>Citibank Overseas Investment Co.</t>
  </si>
  <si>
    <t>Banco Bilbao Vizcaya Argentaria S.A.</t>
  </si>
  <si>
    <t>Caja de Compensación Familiar (CAFAM)</t>
  </si>
  <si>
    <t xml:space="preserve">Granahorrar </t>
  </si>
  <si>
    <t>Banco de Bogotá S.A.</t>
  </si>
  <si>
    <t>Inversura S.A.</t>
  </si>
  <si>
    <t>Grupo Aval Acciones y Valores S.A.</t>
  </si>
  <si>
    <t>Corporación Financiera Nacional y Suramericana S.A.</t>
  </si>
  <si>
    <t>Provida Internacional S.A.</t>
  </si>
  <si>
    <t>Caja Colombiana de Subsidio Familiar</t>
  </si>
  <si>
    <t>Banco de Occidente S.A.</t>
  </si>
  <si>
    <t>Corporación Nacional de Ahorro y Vivienda Conavi</t>
  </si>
  <si>
    <t>Fiduciaria de Bogotá</t>
  </si>
  <si>
    <t>Banco Industrial Colombiano -BIC-</t>
  </si>
  <si>
    <t>Fiduciaria de Occidente S.A.</t>
  </si>
  <si>
    <t>Reaseguradora Colombia</t>
  </si>
  <si>
    <t>Holding Santander Central Hispano S.A.</t>
  </si>
  <si>
    <t>Fiduciaria Skandia S.A.</t>
  </si>
  <si>
    <t>Administración de Bancos Latinoamericanos Santander S.L.</t>
  </si>
  <si>
    <t>Skandia Holding de Colombia S.A.</t>
  </si>
  <si>
    <t>Santander Inv. Colombia S.A.</t>
  </si>
  <si>
    <t>Compensar</t>
  </si>
  <si>
    <t>Santander Investment S.A.</t>
  </si>
  <si>
    <t>Lloyds TSB Bank</t>
  </si>
  <si>
    <t>Bansaleasing Colombia S.A. CFC</t>
  </si>
  <si>
    <t>Banco de Crédito</t>
  </si>
  <si>
    <t>Banco Unión</t>
  </si>
  <si>
    <t>Comfenalco Valle</t>
  </si>
  <si>
    <t>Comfenalco Antioquia</t>
  </si>
  <si>
    <r>
      <t xml:space="preserve">Fuente / </t>
    </r>
    <r>
      <rPr>
        <b/>
        <sz val="9"/>
        <color indexed="21"/>
        <rFont val="Times New Roman"/>
        <family val="1"/>
      </rPr>
      <t xml:space="preserve">Source: </t>
    </r>
    <r>
      <rPr>
        <b/>
        <sz val="9"/>
        <rFont val="Times New Roman"/>
        <family val="1"/>
      </rPr>
      <t>Asofondos de Colombia</t>
    </r>
  </si>
  <si>
    <t>Empresas Penta S.A.</t>
  </si>
  <si>
    <t>Inversiones Previsionales S.A.</t>
  </si>
  <si>
    <t>Sun Life Inversiones S.A.</t>
  </si>
  <si>
    <t>Inversiones Union Española S.A.</t>
  </si>
  <si>
    <t>Depósito Central de Valores S.A.</t>
  </si>
  <si>
    <t>Genesis Chile Fund Limited</t>
  </si>
  <si>
    <t>Larrain Vial S.A. Corredora de Bolsa</t>
  </si>
  <si>
    <t>Collados Nuñez Modesto</t>
  </si>
  <si>
    <t>Inversiones Tacora Ltda.</t>
  </si>
  <si>
    <t>Inmobiliaria Villuco Ltda.</t>
  </si>
  <si>
    <t>Santiago Corredores de Bolsa Ltda.</t>
  </si>
  <si>
    <t>Bancard S.A.</t>
  </si>
  <si>
    <t>Barron Adrian René</t>
  </si>
  <si>
    <t>Inversiones Koikenes S.A.</t>
  </si>
  <si>
    <t>Vicentella Huerta Freddy</t>
  </si>
  <si>
    <t>Fundación Van Buren</t>
  </si>
  <si>
    <t>Inversiones Covadonga S.A.</t>
  </si>
  <si>
    <t>Inversiones Unión Española S.A.</t>
  </si>
  <si>
    <t>Inmobiliaria e Inversiones Las Hualtatas S.A.</t>
  </si>
  <si>
    <t>Inverlink Capitales S.A.</t>
  </si>
  <si>
    <t>Asesorías e Inversiones Los Olmos S.A.</t>
  </si>
  <si>
    <t>Inversiones Soria S.A.</t>
  </si>
  <si>
    <t>Varas Guzmán Gabriela</t>
  </si>
  <si>
    <t>Inverlink Holding de Inversiones S.A.</t>
  </si>
  <si>
    <t>Sociedad de Inversiones Pizarro S.A.</t>
  </si>
  <si>
    <t>Sociedad de Inversiones Piu Ltda.</t>
  </si>
  <si>
    <t>Caja de Compensación Javiera Carrera</t>
  </si>
  <si>
    <t>Corp. de Recreac. y Extenc. Javiera Carrera</t>
  </si>
  <si>
    <t>BBV Pensiones Chile S.A.</t>
  </si>
  <si>
    <t>ING S.A.</t>
  </si>
  <si>
    <t>The Bank of New York (A.D.Rs)</t>
  </si>
  <si>
    <t>Inversiones Oro S.A.</t>
  </si>
  <si>
    <t xml:space="preserve">Bolsa de Comercio de Santiago </t>
  </si>
  <si>
    <t>Au Wong Francisco</t>
  </si>
  <si>
    <t xml:space="preserve">Genesis Chile Fund </t>
  </si>
  <si>
    <t>Canales Neira Enrique</t>
  </si>
  <si>
    <t xml:space="preserve">Alfa Corredores de Bolsa S.A. </t>
  </si>
  <si>
    <t>Hidalgo Rodríguez Orlando</t>
  </si>
  <si>
    <t xml:space="preserve">Bolsa Electronica de Chile </t>
  </si>
  <si>
    <t>Suc. Figueroa Martínez Pedro</t>
  </si>
  <si>
    <t xml:space="preserve">The Emerging Markets Chile Fund. </t>
  </si>
  <si>
    <t>Pinto Araya María Teresa</t>
  </si>
  <si>
    <t xml:space="preserve">Empresas Penta S.A. </t>
  </si>
  <si>
    <t>Banchile Corredores de Bolsa</t>
  </si>
  <si>
    <t xml:space="preserve">Banchile Corredores de Bolsa S.A. </t>
  </si>
  <si>
    <t>Guidi Machuca Jorge Franco</t>
  </si>
  <si>
    <t xml:space="preserve">Gonzalez Munoz Inelda </t>
  </si>
  <si>
    <t>Cabezas Aguilera Pedro Nolasco</t>
  </si>
  <si>
    <t>Santander Chile Holding S.A.</t>
  </si>
  <si>
    <t>Inversiones Santander S.A.</t>
  </si>
  <si>
    <r>
      <t xml:space="preserve">Fuente / </t>
    </r>
    <r>
      <rPr>
        <b/>
        <i/>
        <sz val="9"/>
        <color indexed="21"/>
        <rFont val="Times New Roman"/>
        <family val="1"/>
      </rPr>
      <t>Source:</t>
    </r>
    <r>
      <rPr>
        <b/>
        <sz val="9"/>
        <rFont val="Times New Roman"/>
        <family val="1"/>
      </rPr>
      <t xml:space="preserve"> FECU (Ficha Estadística Codificada Uniforme) de cada AFP al mes de mayo de 2002 / </t>
    </r>
    <r>
      <rPr>
        <b/>
        <i/>
        <sz val="9"/>
        <color indexed="21"/>
        <rFont val="Times New Roman"/>
        <family val="1"/>
      </rPr>
      <t>FECU of each AFP in may of 2002.</t>
    </r>
  </si>
  <si>
    <t>Adpacific</t>
  </si>
  <si>
    <t>AFP Génesis</t>
  </si>
  <si>
    <t>Banco del Pacífico</t>
  </si>
  <si>
    <t>BBVA Pensiones Chile S.A.</t>
  </si>
  <si>
    <t>Fondos BG</t>
  </si>
  <si>
    <t>Fondos Pichincha</t>
  </si>
  <si>
    <t>Banco de Guayaquil</t>
  </si>
  <si>
    <t>Banco del Pichincha</t>
  </si>
  <si>
    <t>Produfondos</t>
  </si>
  <si>
    <t>Produbanco</t>
  </si>
  <si>
    <t xml:space="preserve">                             Association of Investment and Fideicomisos Fund Administrators.</t>
  </si>
  <si>
    <r>
      <t xml:space="preserve">Fuente / </t>
    </r>
    <r>
      <rPr>
        <b/>
        <i/>
        <sz val="9"/>
        <color indexed="21"/>
        <rFont val="Times New Roman"/>
        <family val="1"/>
      </rPr>
      <t>Source:</t>
    </r>
    <r>
      <rPr>
        <b/>
        <sz val="9"/>
        <color indexed="21"/>
        <rFont val="Times New Roman"/>
        <family val="1"/>
      </rPr>
      <t xml:space="preserve"> </t>
    </r>
    <r>
      <rPr>
        <b/>
        <sz val="9"/>
        <rFont val="Times New Roman"/>
        <family val="1"/>
      </rPr>
      <t>Asociación de Administradoras de Fondos de Inversión y Fideicomisos del Ecuador.</t>
    </r>
  </si>
  <si>
    <t>Citi Inversiones , S.A. de C.V.</t>
  </si>
  <si>
    <t>Argentaria Participaciones Financieras, S.A.</t>
  </si>
  <si>
    <t>Citibank Overseas Investment Corporation</t>
  </si>
  <si>
    <t>BBV Pensiones, S.A.</t>
  </si>
  <si>
    <t>Bienes y Servicios, S.A. de C.V.</t>
  </si>
  <si>
    <t>Provida Internacional, S.A.</t>
  </si>
  <si>
    <t>Grupo Financiero Cuscatlan , S.A.</t>
  </si>
  <si>
    <t>Corporación Excelencia, S.A. de C.V.</t>
  </si>
  <si>
    <t>Valores de El Salvador, S.A.</t>
  </si>
  <si>
    <t>Fondo Universal, S.A.</t>
  </si>
  <si>
    <t>Francisco Ernesto Fernández Holmann</t>
  </si>
  <si>
    <t>International Finance Corporation</t>
  </si>
  <si>
    <t>Corporación Nacional de Inv., S.A. de C.V.</t>
  </si>
  <si>
    <t>Diseño, Supervisión, Const., S.A. de C.V.</t>
  </si>
  <si>
    <t>A.Q.S.A., S.A. de C.V.</t>
  </si>
  <si>
    <t>Armando Bukele Kattan</t>
  </si>
  <si>
    <t>Ramón Quintanilla Figueroa</t>
  </si>
  <si>
    <t>Carlos Enrique Corado Lanza</t>
  </si>
  <si>
    <t>Mercedes Patricia Lazos de Parras</t>
  </si>
  <si>
    <t>Alfonso Tomás Carbonel</t>
  </si>
  <si>
    <t>José Ricardo Perdomo Aguilar</t>
  </si>
  <si>
    <t>Avance Ingenieros, S.A. de C.V.</t>
  </si>
  <si>
    <t xml:space="preserve">                            Pension Superintendence of El Salvador</t>
  </si>
  <si>
    <r>
      <t xml:space="preserve">Fuente / </t>
    </r>
    <r>
      <rPr>
        <b/>
        <sz val="9"/>
        <color indexed="21"/>
        <rFont val="Times New Roman"/>
        <family val="1"/>
      </rPr>
      <t xml:space="preserve">Source: </t>
    </r>
    <r>
      <rPr>
        <b/>
        <sz val="9"/>
        <rFont val="Times New Roman"/>
        <family val="1"/>
      </rPr>
      <t>Superintendencia de Pensiones de El Salvador</t>
    </r>
  </si>
  <si>
    <t>Dresdner Pension Fund Holdings, LLC</t>
  </si>
  <si>
    <t>Banco Nacional de México, S.A., Institución de Banca Múltiple, Grupo Financiero Banamex-Accival</t>
  </si>
  <si>
    <t>Allianz México, S.A., Compañía de Seguros</t>
  </si>
  <si>
    <t>Aegon México Holding B.V</t>
  </si>
  <si>
    <t>Banorte Generali</t>
  </si>
  <si>
    <t>BBVA Bancomer, S.A., Institución de Banca Múltiple Grupo Financiero BBVA Bancomer</t>
  </si>
  <si>
    <t>Banco del Centro, S.A., Institución de Banca Múltiple, Grupo Financiero Banorte</t>
  </si>
  <si>
    <t>Aetna Internacional y Cía., S. de R.L. de C.V.</t>
  </si>
  <si>
    <t>Participatie Maatschappij Graafscghap Holland, N.V.</t>
  </si>
  <si>
    <t>Belgica Insurance Holding, S.A.</t>
  </si>
  <si>
    <t>Banco Inbursa, S.A., Institución de Banca Múltiple, Grupo Financiero Inbursa</t>
  </si>
  <si>
    <t>ING America Insurance Holdings, Inc.</t>
  </si>
  <si>
    <t>General Electric Assurance Company</t>
  </si>
  <si>
    <t>ING Assets Management</t>
  </si>
  <si>
    <t>Principal International, Inc.</t>
  </si>
  <si>
    <t>Grupo Nac. Provincial Pensiones, S.A. de C.V.</t>
  </si>
  <si>
    <t>Principal Holding Company</t>
  </si>
  <si>
    <t>Nalterfin, S.A. de C.V.</t>
  </si>
  <si>
    <t>Santander Mexicano</t>
  </si>
  <si>
    <t>Banco Santander Mexicano, S.A., Institución de Banca Múltiple, Grupo Financiero Santander Mexicano</t>
  </si>
  <si>
    <t>Mapfre Amèrica Vida</t>
  </si>
  <si>
    <t>Santander Investment, S.A.</t>
  </si>
  <si>
    <t>Corporación Internacional Caja de Madrid E.T.V.E., S.L.</t>
  </si>
  <si>
    <t>Seguros Tepeyac</t>
  </si>
  <si>
    <t>Instituto Mexicano del Seguro Social</t>
  </si>
  <si>
    <t>Prudential international invesment corparation</t>
  </si>
  <si>
    <t>DMO México</t>
  </si>
  <si>
    <t xml:space="preserve">                              National Commission of Save to Retirement System, CONSAR</t>
  </si>
  <si>
    <r>
      <t xml:space="preserve">Fuente / </t>
    </r>
    <r>
      <rPr>
        <b/>
        <sz val="9"/>
        <color indexed="21"/>
        <rFont val="Times New Roman"/>
        <family val="1"/>
      </rPr>
      <t xml:space="preserve">Source: </t>
    </r>
    <r>
      <rPr>
        <b/>
        <sz val="9"/>
        <rFont val="Times New Roman"/>
        <family val="1"/>
      </rPr>
      <t>Comisión Nacional del Sistema de Ahorro para el Retiro, CONSAR.</t>
    </r>
  </si>
  <si>
    <t>PARTICIPACION ACCIONARIA DE LAS ADMINISTRADORAS AL 30.09.2002</t>
  </si>
  <si>
    <t>SHAREHOLDING STRUCTURE OF ADMINISTRATORS AS OF 09.30.2002</t>
  </si>
  <si>
    <t>Caja de Seguro Social</t>
  </si>
  <si>
    <t>Credicorp Bank S.A.</t>
  </si>
  <si>
    <t>Cía Internacional de Seguros, S.A.</t>
  </si>
  <si>
    <t>Multicredit Bank</t>
  </si>
  <si>
    <t>BBVA   Banco</t>
  </si>
  <si>
    <t>Wall Street Securities S.A</t>
  </si>
  <si>
    <t>Profuturo AFP, S.A.</t>
  </si>
  <si>
    <t>Progreso AFP, S.A.</t>
  </si>
  <si>
    <t>Banco General S.A</t>
  </si>
  <si>
    <t>BBVA Banco</t>
  </si>
  <si>
    <t>Citibank</t>
  </si>
  <si>
    <t>Primer Banco del Istmo S.A</t>
  </si>
  <si>
    <t>Banco Continental</t>
  </si>
  <si>
    <t>Banco Intl. de Panamá</t>
  </si>
  <si>
    <t>ASSA Seguros</t>
  </si>
  <si>
    <t>Compañía Nacional de Seguros</t>
  </si>
  <si>
    <t>Aseguradora Mundial</t>
  </si>
  <si>
    <t>Banco Panameño de Vivienda</t>
  </si>
  <si>
    <t>Holding Continental S.A.</t>
  </si>
  <si>
    <t>Inversiones Wiese del Perú S.A.</t>
  </si>
  <si>
    <t>ING Pensiones Perú S.A.</t>
  </si>
  <si>
    <t>ING Latin American Holdings B.V.</t>
  </si>
  <si>
    <t>Corporación General Financiera S.A.</t>
  </si>
  <si>
    <t>ING Insurance International B.V.</t>
  </si>
  <si>
    <t>otros</t>
  </si>
  <si>
    <t>Negocios e Inmuebles S.A.</t>
  </si>
  <si>
    <t>Citibank Overseas Investment Corp.</t>
  </si>
  <si>
    <t>Grupo Santander Central Hispano</t>
  </si>
  <si>
    <t xml:space="preserve">Transacciones Especiales S.A. </t>
  </si>
  <si>
    <t>Comercial del Pacífico S.A.</t>
  </si>
  <si>
    <t>Latin Invest S.A.</t>
  </si>
  <si>
    <t>Inmobiliaria 301 S.A.</t>
  </si>
  <si>
    <t>Banco Construcción C.A.</t>
  </si>
  <si>
    <t>Caserta Business Corp.</t>
  </si>
  <si>
    <t>Tri Investment Company, Inc.</t>
  </si>
  <si>
    <t>BBVA Crecer AFP</t>
  </si>
  <si>
    <t>Caribalico</t>
  </si>
  <si>
    <t>Grupo Caribalico</t>
  </si>
  <si>
    <t>Popular</t>
  </si>
  <si>
    <t>Grupo Popular</t>
  </si>
  <si>
    <t>Banco Intercontinental</t>
  </si>
  <si>
    <t>AFP Integra</t>
  </si>
  <si>
    <t>Seguros Intercontinental</t>
  </si>
  <si>
    <t>Banco Mercantil</t>
  </si>
  <si>
    <t>Inversiones Cosecha</t>
  </si>
  <si>
    <t>Porvenir (Colombia)</t>
  </si>
  <si>
    <t>Reservas</t>
  </si>
  <si>
    <t>Banco de Reservas</t>
  </si>
  <si>
    <t>Grupo BHD</t>
  </si>
  <si>
    <t>Corporación Dominicana de Electricidad</t>
  </si>
  <si>
    <t>Grupo Financiero Nacional</t>
  </si>
  <si>
    <t>Corp. de Acueductos y Alcantarillados de Sto. Dgo.</t>
  </si>
  <si>
    <t xml:space="preserve">Instituto Nacional de Recursos Hidraulicos </t>
  </si>
  <si>
    <t>Banco Agricola</t>
  </si>
  <si>
    <t>Corporacion De Fomento Industrial</t>
  </si>
  <si>
    <t>Banco Nacional de la Vivienda</t>
  </si>
  <si>
    <r>
      <t xml:space="preserve">Fuente / </t>
    </r>
    <r>
      <rPr>
        <b/>
        <i/>
        <sz val="9"/>
        <color indexed="21"/>
        <rFont val="Times New Roman"/>
        <family val="1"/>
      </rPr>
      <t>Source:</t>
    </r>
    <r>
      <rPr>
        <b/>
        <sz val="9"/>
        <rFont val="Times New Roman"/>
        <family val="1"/>
      </rPr>
      <t>Asociación Dominicana de Administradoras de Fondos de Pensiones</t>
    </r>
  </si>
  <si>
    <r>
      <t xml:space="preserve">                             </t>
    </r>
    <r>
      <rPr>
        <b/>
        <i/>
        <sz val="9"/>
        <color indexed="21"/>
        <rFont val="Times New Roman"/>
        <family val="1"/>
      </rPr>
      <t xml:space="preserve"> Dominican Association of Pension Funds Administrators</t>
    </r>
  </si>
  <si>
    <t>Comercial - Santander AFAP (Afinidad)</t>
  </si>
  <si>
    <t>Integración AFAP</t>
  </si>
  <si>
    <t>Banco Comercial S.A.</t>
  </si>
  <si>
    <t>COFAC</t>
  </si>
  <si>
    <t>HOLBAH Limited</t>
  </si>
  <si>
    <t>CACDU</t>
  </si>
  <si>
    <t>FUCAC</t>
  </si>
  <si>
    <t>República AFAP</t>
  </si>
  <si>
    <t>UniónCapital AFAP</t>
  </si>
  <si>
    <t>Banco de la República Oriental del Uruguay</t>
  </si>
  <si>
    <t>Banco de Montevideo S.A.</t>
  </si>
  <si>
    <t>Banco de Previsión Social</t>
  </si>
  <si>
    <t>Banco de Seguros del Estado</t>
  </si>
  <si>
    <t>Boston International Holding Corporation</t>
  </si>
  <si>
    <r>
      <t xml:space="preserve">Fuente / </t>
    </r>
    <r>
      <rPr>
        <b/>
        <i/>
        <sz val="10"/>
        <color indexed="21"/>
        <rFont val="Times New Roman"/>
        <family val="1"/>
      </rPr>
      <t>Source:</t>
    </r>
    <r>
      <rPr>
        <b/>
        <sz val="10"/>
        <rFont val="Times New Roman"/>
        <family val="1"/>
      </rPr>
      <t>República AFAP</t>
    </r>
  </si>
  <si>
    <t>PIB (Millones de US$)</t>
  </si>
  <si>
    <t>Población</t>
  </si>
  <si>
    <t>PEA</t>
  </si>
  <si>
    <t>Inflación (%)</t>
  </si>
  <si>
    <t>Desempleo (%)</t>
  </si>
  <si>
    <t>PBI (US$ Million)</t>
  </si>
  <si>
    <t>Population</t>
  </si>
  <si>
    <t>EAP</t>
  </si>
  <si>
    <t>Inflation (%)</t>
  </si>
  <si>
    <t>Unemployment (%)</t>
  </si>
  <si>
    <t>Argentina  (1)</t>
  </si>
  <si>
    <t>Perú (4)</t>
  </si>
  <si>
    <t>República Dominicana</t>
  </si>
  <si>
    <t xml:space="preserve">Uruguay </t>
  </si>
  <si>
    <t>Paises Europeos</t>
  </si>
  <si>
    <t>European Countries</t>
  </si>
  <si>
    <t>Federación Rusa (5)</t>
  </si>
  <si>
    <t>n.d</t>
  </si>
  <si>
    <t>Kazakhstan (6)</t>
  </si>
  <si>
    <t>Polonia (7)</t>
  </si>
  <si>
    <t>Producto Interno Bruto (PIB), Población total y Población Económicamente Activa (PEA) al 31 de diciembre de cada año.</t>
  </si>
  <si>
    <r>
      <t xml:space="preserve">INFORMACION ECONOMICA FIAP / </t>
    </r>
    <r>
      <rPr>
        <b/>
        <i/>
        <sz val="14"/>
        <color indexed="21"/>
        <rFont val="Bookman Old Style"/>
        <family val="1"/>
      </rPr>
      <t>ECONOMICAL INFORMATION FIAP</t>
    </r>
  </si>
  <si>
    <r>
      <t xml:space="preserve">n.a.: no aplica; n.d.: no disponible / </t>
    </r>
    <r>
      <rPr>
        <i/>
        <sz val="9"/>
        <color indexed="21"/>
        <rFont val="Times New Roman"/>
        <family val="1"/>
      </rPr>
      <t>n.a.: no apply; n.d.: no disposable</t>
    </r>
  </si>
  <si>
    <r>
      <t xml:space="preserve">Información al tipo de cambio de cada año / </t>
    </r>
    <r>
      <rPr>
        <i/>
        <sz val="9"/>
        <color indexed="21"/>
        <rFont val="Times New Roman"/>
        <family val="1"/>
      </rPr>
      <t>Information considering the exchange rate of each year.</t>
    </r>
  </si>
  <si>
    <r>
      <t xml:space="preserve">(5) Datos al 31.12.1998 / </t>
    </r>
    <r>
      <rPr>
        <i/>
        <sz val="9"/>
        <color indexed="21"/>
        <rFont val="Times New Roman"/>
        <family val="1"/>
      </rPr>
      <t>Datum as of 12.31.1998</t>
    </r>
  </si>
  <si>
    <r>
      <t xml:space="preserve">(6) PIB, Población y PEA proyectado al 30.06.2000 y 31.12.1999. Tasa de desempleo al 31.12.1999 / </t>
    </r>
    <r>
      <rPr>
        <i/>
        <sz val="9"/>
        <color indexed="21"/>
        <rFont val="Times New Roman"/>
        <family val="1"/>
      </rPr>
      <t>PBI, Population and EAP projected to 06.30.2000 and 12.31.1999. Unemployment rate as of 12.31.1999</t>
    </r>
  </si>
  <si>
    <r>
      <t xml:space="preserve">(7) PIB y Población al 31.12.2000 y 31.12.1999. Inflación al 30.06.2001 y 31.12.2000 / </t>
    </r>
    <r>
      <rPr>
        <i/>
        <sz val="9"/>
        <color indexed="21"/>
        <rFont val="Times New Roman"/>
        <family val="1"/>
      </rPr>
      <t>PBI and Population as of 12.31.2000 and 12.31.1999. Inflation as of 06.30.2001 and 12.31.2000.</t>
    </r>
  </si>
  <si>
    <t>México (3)</t>
  </si>
  <si>
    <t>Venezuela (2)</t>
  </si>
  <si>
    <t>Bulgaria (2)</t>
  </si>
  <si>
    <t>España (2)</t>
  </si>
  <si>
    <t>Fondo/PIB (%)</t>
  </si>
  <si>
    <t>Ingreso Promedio Imponible (US$)</t>
  </si>
  <si>
    <t>Rentabilidad Real (%)</t>
  </si>
  <si>
    <t>Fund/PBI (%)</t>
  </si>
  <si>
    <t>Taxable Average Salary (US$)</t>
  </si>
  <si>
    <t>Argentina (1)</t>
  </si>
  <si>
    <t>Brasil (3)</t>
  </si>
  <si>
    <t>n.a.</t>
  </si>
  <si>
    <t>Costa Rica (5)</t>
  </si>
  <si>
    <t>Bulgaria (7)</t>
  </si>
  <si>
    <t xml:space="preserve">España </t>
  </si>
  <si>
    <t>Kazakhstan (8)</t>
  </si>
  <si>
    <t>Polonia (9)</t>
  </si>
  <si>
    <r>
      <t xml:space="preserve">SISTEMA PREVISIONAL FIAP / </t>
    </r>
    <r>
      <rPr>
        <b/>
        <i/>
        <sz val="14"/>
        <color indexed="21"/>
        <rFont val="Bookman Old Style"/>
        <family val="1"/>
      </rPr>
      <t>PREVISIONAL SYSTEM FIAP</t>
    </r>
  </si>
  <si>
    <r>
      <t xml:space="preserve">(3) PIB al 30.11.2000 y 31.12.2000 / </t>
    </r>
    <r>
      <rPr>
        <i/>
        <sz val="9"/>
        <color indexed="21"/>
        <rFont val="Times New Roman"/>
        <family val="1"/>
      </rPr>
      <t>PBI as of 11.30.2000 and 12.31.2000</t>
    </r>
  </si>
  <si>
    <r>
      <t xml:space="preserve">(7) Ingreso promedio imponible al 30.06.2001 y 30.06.2000. Rentabilidad a septiembre de 2001 / </t>
    </r>
    <r>
      <rPr>
        <i/>
        <sz val="9"/>
        <color indexed="21"/>
        <rFont val="Times New Roman"/>
        <family val="1"/>
      </rPr>
      <t>Taxable average salary as of 06.30.2001 and 06.30.2000. Profitability as of september 2001.</t>
    </r>
  </si>
  <si>
    <r>
      <t xml:space="preserve">(8) Datos al 30.06.2000 y 31.12.1999 / </t>
    </r>
    <r>
      <rPr>
        <i/>
        <sz val="9"/>
        <color indexed="21"/>
        <rFont val="Times New Roman"/>
        <family val="1"/>
      </rPr>
      <t>Datum as of 06.30.2000 and 12.31.1999</t>
    </r>
  </si>
  <si>
    <r>
      <t xml:space="preserve">(9) Datos al 31.12.2000 y 31.12.1999 / </t>
    </r>
    <r>
      <rPr>
        <i/>
        <sz val="9"/>
        <color indexed="21"/>
        <rFont val="Times New Roman"/>
        <family val="1"/>
      </rPr>
      <t>Datum as of 12.31.2000 and 12.31.1999</t>
    </r>
  </si>
  <si>
    <r>
      <t xml:space="preserve">Papeles del Gobierno / </t>
    </r>
    <r>
      <rPr>
        <i/>
        <sz val="11"/>
        <color indexed="21"/>
        <rFont val="Times New Roman"/>
        <family val="1"/>
      </rPr>
      <t>Government Securities</t>
    </r>
  </si>
  <si>
    <r>
      <t>Bonos /</t>
    </r>
    <r>
      <rPr>
        <sz val="11"/>
        <color indexed="21"/>
        <rFont val="Times New Roman"/>
        <family val="1"/>
      </rPr>
      <t xml:space="preserve"> </t>
    </r>
    <r>
      <rPr>
        <i/>
        <sz val="11"/>
        <color indexed="21"/>
        <rFont val="Times New Roman"/>
        <family val="1"/>
      </rPr>
      <t>Corporate and municipal bonds</t>
    </r>
  </si>
  <si>
    <r>
      <t>Acciones</t>
    </r>
    <r>
      <rPr>
        <i/>
        <sz val="11"/>
        <color indexed="21"/>
        <rFont val="Times New Roman"/>
        <family val="1"/>
      </rPr>
      <t xml:space="preserve"> / Stocks</t>
    </r>
  </si>
  <si>
    <r>
      <t>Fondos Mutuos</t>
    </r>
    <r>
      <rPr>
        <i/>
        <sz val="11"/>
        <color indexed="21"/>
        <rFont val="Times New Roman"/>
        <family val="1"/>
      </rPr>
      <t xml:space="preserve"> / Investment Vouchers</t>
    </r>
  </si>
  <si>
    <r>
      <t xml:space="preserve">Otros Activos (1) / </t>
    </r>
    <r>
      <rPr>
        <i/>
        <sz val="11"/>
        <color indexed="21"/>
        <rFont val="Times New Roman"/>
        <family val="1"/>
      </rPr>
      <t>Other Assets</t>
    </r>
  </si>
  <si>
    <r>
      <t xml:space="preserve">Fuente / </t>
    </r>
    <r>
      <rPr>
        <b/>
        <i/>
        <sz val="9"/>
        <color indexed="21"/>
        <rFont val="Times New Roman"/>
        <family val="1"/>
      </rPr>
      <t>Source:</t>
    </r>
    <r>
      <rPr>
        <b/>
        <sz val="9"/>
        <rFont val="Times New Roman"/>
        <family val="1"/>
      </rPr>
      <t>Reporte a Junio 2001 y Reporte Anual 2000 de la Autoridad Financiera Supervisora de Hungría</t>
    </r>
  </si>
  <si>
    <r>
      <t xml:space="preserve">(*) La Cartera considera sólo los Fondos de  Pensiones Obligatorios / </t>
    </r>
    <r>
      <rPr>
        <b/>
        <i/>
        <sz val="9"/>
        <color indexed="21"/>
        <rFont val="Times New Roman"/>
        <family val="1"/>
      </rPr>
      <t>Portfolio only consider Mandatory Pension Funds</t>
    </r>
  </si>
  <si>
    <r>
      <t xml:space="preserve">(1) Otros Activos incluye las inversiones en Depósitos bancarios y efectivos, Depósitos Bancarios y otros / </t>
    </r>
    <r>
      <rPr>
        <i/>
        <sz val="9"/>
        <color indexed="21"/>
        <rFont val="Times New Roman"/>
        <family val="1"/>
      </rPr>
      <t>Other assets include investments in Deposits in banks and cash, Deposits in banks and others</t>
    </r>
  </si>
  <si>
    <r>
      <t>Fondos Mutuos</t>
    </r>
    <r>
      <rPr>
        <i/>
        <sz val="10"/>
        <color indexed="21"/>
        <rFont val="Times New Roman"/>
        <family val="1"/>
      </rPr>
      <t xml:space="preserve"> </t>
    </r>
  </si>
  <si>
    <r>
      <t>Títulos estatales de corto plazo /</t>
    </r>
    <r>
      <rPr>
        <i/>
        <sz val="10"/>
        <color indexed="21"/>
        <rFont val="Times New Roman"/>
        <family val="1"/>
      </rPr>
      <t xml:space="preserve"> Short-term state securities</t>
    </r>
  </si>
  <si>
    <r>
      <t xml:space="preserve">Títulos estatales de mediano y largo plazo / </t>
    </r>
    <r>
      <rPr>
        <i/>
        <sz val="10"/>
        <color indexed="21"/>
        <rFont val="Times New Roman"/>
        <family val="1"/>
      </rPr>
      <t>Medium and long-term state securities</t>
    </r>
  </si>
  <si>
    <r>
      <t>Títulos de cuerpos ejecutivos locales de la Rep de Kazakhstan /</t>
    </r>
    <r>
      <rPr>
        <i/>
        <sz val="10"/>
        <color indexed="21"/>
        <rFont val="Times New Roman"/>
        <family val="1"/>
      </rPr>
      <t xml:space="preserve"> Securities of local executive bodies of the RK</t>
    </r>
  </si>
  <si>
    <r>
      <t>Acciones de la lista "A" de KASE /</t>
    </r>
    <r>
      <rPr>
        <i/>
        <sz val="10"/>
        <color indexed="21"/>
        <rFont val="Times New Roman"/>
        <family val="1"/>
      </rPr>
      <t xml:space="preserve"> Issuers' stocks A-listed at the KASE</t>
    </r>
  </si>
  <si>
    <r>
      <t xml:space="preserve">Bonos de la lista "A" de KASE / </t>
    </r>
    <r>
      <rPr>
        <i/>
        <sz val="10"/>
        <color indexed="21"/>
        <rFont val="Times New Roman"/>
        <family val="1"/>
      </rPr>
      <t>Issuers' bonds A-listed at the KASE</t>
    </r>
  </si>
  <si>
    <r>
      <t xml:space="preserve">Títulos de organizaciones financieras internacionales / </t>
    </r>
    <r>
      <rPr>
        <i/>
        <sz val="10"/>
        <color indexed="21"/>
        <rFont val="Times New Roman"/>
        <family val="1"/>
      </rPr>
      <t>Securities of international financial organizations</t>
    </r>
  </si>
  <si>
    <r>
      <t xml:space="preserve">Depóstios en bancos / </t>
    </r>
    <r>
      <rPr>
        <i/>
        <sz val="10"/>
        <color indexed="21"/>
        <rFont val="Times New Roman"/>
        <family val="1"/>
      </rPr>
      <t>Deposits in the second-tier banks</t>
    </r>
  </si>
  <si>
    <r>
      <t xml:space="preserve">Títulos extranjeros / </t>
    </r>
    <r>
      <rPr>
        <i/>
        <sz val="10"/>
        <color indexed="21"/>
        <rFont val="Times New Roman"/>
        <family val="1"/>
      </rPr>
      <t>Securities of foreign issuers</t>
    </r>
  </si>
  <si>
    <r>
      <t xml:space="preserve">                            </t>
    </r>
    <r>
      <rPr>
        <b/>
        <i/>
        <sz val="9"/>
        <color indexed="21"/>
        <rFont val="Times New Roman"/>
        <family val="1"/>
      </rPr>
      <t xml:space="preserve"> Committee on Regulation of Activities of  Accumulation Pension Funds</t>
    </r>
  </si>
  <si>
    <r>
      <t xml:space="preserve">Pagarés a Plazos Indizados / </t>
    </r>
    <r>
      <rPr>
        <i/>
        <sz val="8"/>
        <color indexed="21"/>
        <rFont val="Times New Roman"/>
        <family val="1"/>
      </rPr>
      <t>Indexed Term Prom. Notes</t>
    </r>
  </si>
  <si>
    <r>
      <t xml:space="preserve">Pagarés a Plazos Tasa Nominal / </t>
    </r>
    <r>
      <rPr>
        <i/>
        <sz val="8"/>
        <color indexed="21"/>
        <rFont val="Times New Roman"/>
        <family val="1"/>
      </rPr>
      <t>Nominal Term Prom. Notes</t>
    </r>
  </si>
  <si>
    <r>
      <t xml:space="preserve">Depósitos en Banco de México / </t>
    </r>
    <r>
      <rPr>
        <i/>
        <sz val="8"/>
        <color indexed="21"/>
        <rFont val="Times New Roman"/>
        <family val="1"/>
      </rPr>
      <t>Deposits in Bank of Mexico</t>
    </r>
  </si>
  <si>
    <r>
      <t xml:space="preserve">Fuente / </t>
    </r>
    <r>
      <rPr>
        <b/>
        <sz val="9"/>
        <color indexed="21"/>
        <rFont val="Times New Roman"/>
        <family val="1"/>
      </rPr>
      <t xml:space="preserve">Source: </t>
    </r>
    <r>
      <rPr>
        <b/>
        <sz val="9"/>
        <rFont val="Times New Roman"/>
        <family val="1"/>
      </rPr>
      <t xml:space="preserve">Asociación Mexicana de Administradoras de Fondos para el Retiro. </t>
    </r>
  </si>
  <si>
    <r>
      <t xml:space="preserve">CETES : Certificados de la Tesorería / </t>
    </r>
    <r>
      <rPr>
        <i/>
        <sz val="9"/>
        <color indexed="21"/>
        <rFont val="Times New Roman"/>
        <family val="1"/>
      </rPr>
      <t>CETES: Treasury Certificates.</t>
    </r>
  </si>
  <si>
    <r>
      <t xml:space="preserve">BONDES: Bonos de Desarrollo del Gobierno Federal / </t>
    </r>
    <r>
      <rPr>
        <i/>
        <sz val="9"/>
        <color indexed="21"/>
        <rFont val="Times New Roman"/>
        <family val="1"/>
      </rPr>
      <t>BONDES: Federal Government Development Bonds.</t>
    </r>
  </si>
  <si>
    <r>
      <t xml:space="preserve">UDIBONOS: Bonos de Desarrollo del Gobierno Federal denominado en  Unidades de Inversión (UDI´s) / </t>
    </r>
    <r>
      <rPr>
        <i/>
        <sz val="9"/>
        <color indexed="21"/>
        <rFont val="Times New Roman"/>
        <family val="1"/>
      </rPr>
      <t>UDIBONOS: Federal Government Development Bonds, expressed in UDI's</t>
    </r>
  </si>
  <si>
    <r>
      <t xml:space="preserve">PIC´s: Pagarés de Indemnización Carretera / </t>
    </r>
    <r>
      <rPr>
        <i/>
        <sz val="9"/>
        <color indexed="21"/>
        <rFont val="Times New Roman"/>
        <family val="1"/>
      </rPr>
      <t>PIC's: Highway Indemnification Bonds.</t>
    </r>
  </si>
  <si>
    <r>
      <t xml:space="preserve">BREMS: Bonos de Regulación Monetaria del Banco de México / </t>
    </r>
    <r>
      <rPr>
        <i/>
        <sz val="9"/>
        <color indexed="21"/>
        <rFont val="Times New Roman"/>
        <family val="1"/>
      </rPr>
      <t>BREMS: Bonds of Monetary Regulation of Mexican Bank.</t>
    </r>
  </si>
  <si>
    <r>
      <t>Sector Financiero /</t>
    </r>
    <r>
      <rPr>
        <b/>
        <i/>
        <sz val="11"/>
        <color indexed="21"/>
        <rFont val="Times New Roman"/>
        <family val="1"/>
      </rPr>
      <t xml:space="preserve"> Financial Sector</t>
    </r>
  </si>
  <si>
    <r>
      <t xml:space="preserve">Fuente / </t>
    </r>
    <r>
      <rPr>
        <b/>
        <sz val="9"/>
        <color indexed="21"/>
        <rFont val="Times New Roman"/>
        <family val="1"/>
      </rPr>
      <t xml:space="preserve">Source: </t>
    </r>
    <r>
      <rPr>
        <b/>
        <sz val="9"/>
        <rFont val="Times New Roman"/>
        <family val="1"/>
      </rPr>
      <t>AFP Progreso</t>
    </r>
  </si>
  <si>
    <r>
      <t>Valores del Gob. Central /</t>
    </r>
    <r>
      <rPr>
        <i/>
        <sz val="8"/>
        <color indexed="21"/>
        <rFont val="Times New Roman"/>
        <family val="1"/>
      </rPr>
      <t xml:space="preserve"> Central Gov. Securities</t>
    </r>
  </si>
  <si>
    <r>
      <t xml:space="preserve">Bco. Central de Reserva del Perú / </t>
    </r>
    <r>
      <rPr>
        <i/>
        <sz val="8"/>
        <color indexed="21"/>
        <rFont val="Times New Roman"/>
        <family val="1"/>
      </rPr>
      <t>Peru Central Bank</t>
    </r>
  </si>
  <si>
    <r>
      <t xml:space="preserve">Bonos Brady / </t>
    </r>
    <r>
      <rPr>
        <i/>
        <sz val="8"/>
        <color indexed="21"/>
        <rFont val="Times New Roman"/>
        <family val="1"/>
      </rPr>
      <t>Brady Bonds</t>
    </r>
  </si>
  <si>
    <r>
      <t>Acciones /</t>
    </r>
    <r>
      <rPr>
        <i/>
        <sz val="8"/>
        <color indexed="21"/>
        <rFont val="Times New Roman"/>
        <family val="1"/>
      </rPr>
      <t xml:space="preserve"> Stock</t>
    </r>
  </si>
  <si>
    <r>
      <t xml:space="preserve">Pagarés y Papeles Comerciales / </t>
    </r>
    <r>
      <rPr>
        <i/>
        <sz val="8"/>
        <color indexed="21"/>
        <rFont val="Times New Roman"/>
        <family val="1"/>
      </rPr>
      <t>Prommisory and Commercial Notes</t>
    </r>
  </si>
  <si>
    <r>
      <t>Cuotas de Fondos de Inversión /</t>
    </r>
    <r>
      <rPr>
        <i/>
        <sz val="8"/>
        <color indexed="21"/>
        <rFont val="Times New Roman"/>
        <family val="1"/>
      </rPr>
      <t xml:space="preserve"> Investment Fund Stakes</t>
    </r>
  </si>
  <si>
    <r>
      <t>Bonos de Fondos de Inversión /</t>
    </r>
    <r>
      <rPr>
        <i/>
        <sz val="8"/>
        <color indexed="21"/>
        <rFont val="Times New Roman"/>
        <family val="1"/>
      </rPr>
      <t xml:space="preserve"> Investment Fund Bonds</t>
    </r>
  </si>
  <si>
    <r>
      <t xml:space="preserve">Activos Titulizados / </t>
    </r>
    <r>
      <rPr>
        <i/>
        <sz val="8"/>
        <color indexed="21"/>
        <rFont val="Times New Roman"/>
        <family val="1"/>
      </rPr>
      <t>Securities</t>
    </r>
  </si>
  <si>
    <r>
      <t xml:space="preserve">Depósitos a Plazo / </t>
    </r>
    <r>
      <rPr>
        <i/>
        <sz val="8"/>
        <color indexed="21"/>
        <rFont val="Times New Roman"/>
        <family val="1"/>
      </rPr>
      <t>Time Deposits</t>
    </r>
  </si>
  <si>
    <r>
      <t xml:space="preserve">Acciones / </t>
    </r>
    <r>
      <rPr>
        <i/>
        <sz val="8"/>
        <color indexed="21"/>
        <rFont val="Times New Roman"/>
        <family val="1"/>
      </rPr>
      <t>Stock</t>
    </r>
  </si>
  <si>
    <r>
      <t xml:space="preserve">Bonos de Arrendamiento Financiero / </t>
    </r>
    <r>
      <rPr>
        <i/>
        <sz val="8"/>
        <color indexed="21"/>
        <rFont val="Times New Roman"/>
        <family val="1"/>
      </rPr>
      <t>Leasing Bonds</t>
    </r>
  </si>
  <si>
    <r>
      <t>Bonos Subordinados /</t>
    </r>
    <r>
      <rPr>
        <i/>
        <sz val="8"/>
        <color indexed="21"/>
        <rFont val="Times New Roman"/>
        <family val="1"/>
      </rPr>
      <t xml:space="preserve"> Subordinated Bonds</t>
    </r>
  </si>
  <si>
    <r>
      <t xml:space="preserve">Otros Bonos S. Financ. / </t>
    </r>
    <r>
      <rPr>
        <i/>
        <sz val="8"/>
        <color indexed="21"/>
        <rFont val="Times New Roman"/>
        <family val="1"/>
      </rPr>
      <t>Other Financial System Issues</t>
    </r>
  </si>
  <si>
    <r>
      <t xml:space="preserve">Letras Hipotecarias / </t>
    </r>
    <r>
      <rPr>
        <i/>
        <sz val="8"/>
        <color indexed="21"/>
        <rFont val="Times New Roman"/>
        <family val="1"/>
      </rPr>
      <t>Mortgage Notes</t>
    </r>
  </si>
  <si>
    <r>
      <t>Acciones Extranjeras /</t>
    </r>
    <r>
      <rPr>
        <i/>
        <sz val="8"/>
        <color indexed="21"/>
        <rFont val="Times New Roman"/>
        <family val="1"/>
      </rPr>
      <t xml:space="preserve"> Foreing Stocks</t>
    </r>
  </si>
  <si>
    <r>
      <t xml:space="preserve">Títulos de Deuda de Estados Extranjeros / </t>
    </r>
    <r>
      <rPr>
        <i/>
        <sz val="8"/>
        <color indexed="21"/>
        <rFont val="Times New Roman"/>
        <family val="1"/>
      </rPr>
      <t>Foreign Sovereign Debt</t>
    </r>
  </si>
  <si>
    <r>
      <t xml:space="preserve">Fondos Mutuos del Ext. / </t>
    </r>
    <r>
      <rPr>
        <i/>
        <sz val="8"/>
        <color indexed="21"/>
        <rFont val="Times New Roman"/>
        <family val="1"/>
      </rPr>
      <t>Foreign Investment Funds</t>
    </r>
  </si>
  <si>
    <r>
      <t xml:space="preserve">Papeles y depósitos de Tesorería y Banco Nacional de Polonia / </t>
    </r>
    <r>
      <rPr>
        <i/>
        <sz val="8"/>
        <color indexed="21"/>
        <rFont val="Times New Roman"/>
        <family val="1"/>
      </rPr>
      <t>Bills and bonds issued by Treasury and National Bank</t>
    </r>
  </si>
  <si>
    <r>
      <t xml:space="preserve">Fondos de Inversión Nacional / </t>
    </r>
    <r>
      <rPr>
        <i/>
        <sz val="8"/>
        <color indexed="21"/>
        <rFont val="Times New Roman"/>
        <family val="1"/>
      </rPr>
      <t>National Investment Funds</t>
    </r>
  </si>
  <si>
    <r>
      <t xml:space="preserve">Acciones / </t>
    </r>
    <r>
      <rPr>
        <i/>
        <sz val="8"/>
        <color indexed="21"/>
        <rFont val="Times New Roman"/>
        <family val="1"/>
      </rPr>
      <t>Stocks</t>
    </r>
  </si>
  <si>
    <r>
      <t>Bonos /</t>
    </r>
    <r>
      <rPr>
        <i/>
        <sz val="8"/>
        <color indexed="21"/>
        <rFont val="Times New Roman"/>
        <family val="1"/>
      </rPr>
      <t xml:space="preserve"> Bonds</t>
    </r>
  </si>
  <si>
    <r>
      <t xml:space="preserve">Depósitos bancarios y títulos / </t>
    </r>
    <r>
      <rPr>
        <i/>
        <sz val="8"/>
        <color indexed="21"/>
        <rFont val="Times New Roman"/>
        <family val="1"/>
      </rPr>
      <t>Bank deposits and securities</t>
    </r>
  </si>
  <si>
    <r>
      <t xml:space="preserve">Fuente / </t>
    </r>
    <r>
      <rPr>
        <b/>
        <sz val="9"/>
        <color indexed="21"/>
        <rFont val="Times New Roman"/>
        <family val="1"/>
      </rPr>
      <t xml:space="preserve">Source: </t>
    </r>
    <r>
      <rPr>
        <b/>
        <sz val="9"/>
        <rFont val="Times New Roman"/>
        <family val="1"/>
      </rPr>
      <t xml:space="preserve">Cámara Polaca de Fondos de Pensión / </t>
    </r>
    <r>
      <rPr>
        <b/>
        <i/>
        <sz val="9"/>
        <color indexed="21"/>
        <rFont val="Times New Roman"/>
        <family val="1"/>
      </rPr>
      <t>Polish Pension Fund Chamber</t>
    </r>
  </si>
  <si>
    <r>
      <t xml:space="preserve">Bonos Previsionales / </t>
    </r>
    <r>
      <rPr>
        <i/>
        <sz val="8"/>
        <color indexed="21"/>
        <rFont val="Times New Roman"/>
        <family val="1"/>
      </rPr>
      <t>Social Security Bonds</t>
    </r>
  </si>
  <si>
    <r>
      <t>Bonos del Tesoro /</t>
    </r>
    <r>
      <rPr>
        <i/>
        <sz val="8"/>
        <color indexed="21"/>
        <rFont val="Times New Roman"/>
        <family val="1"/>
      </rPr>
      <t xml:space="preserve"> Treasury Bonds</t>
    </r>
  </si>
  <si>
    <r>
      <t>Bonos del Tesoro UI/</t>
    </r>
    <r>
      <rPr>
        <i/>
        <sz val="8"/>
        <color indexed="21"/>
        <rFont val="Times New Roman"/>
        <family val="1"/>
      </rPr>
      <t xml:space="preserve"> Treasury Bonds UI</t>
    </r>
  </si>
  <si>
    <r>
      <t xml:space="preserve">Bonos Globales / </t>
    </r>
    <r>
      <rPr>
        <i/>
        <sz val="8"/>
        <color indexed="21"/>
        <rFont val="Times New Roman"/>
        <family val="1"/>
      </rPr>
      <t>Global Bonds</t>
    </r>
  </si>
  <si>
    <r>
      <t xml:space="preserve">Bonos de Ahorros Previsionales / </t>
    </r>
    <r>
      <rPr>
        <i/>
        <sz val="8"/>
        <color indexed="21"/>
        <rFont val="Times New Roman"/>
        <family val="1"/>
      </rPr>
      <t>Social Security Savings Bonds</t>
    </r>
  </si>
  <si>
    <r>
      <t xml:space="preserve">Eurobonos US$ / </t>
    </r>
    <r>
      <rPr>
        <i/>
        <sz val="8"/>
        <color indexed="21"/>
        <rFont val="Times New Roman"/>
        <family val="1"/>
      </rPr>
      <t>Eurobonds US$</t>
    </r>
  </si>
  <si>
    <r>
      <t xml:space="preserve">Eurobonos Euros / </t>
    </r>
    <r>
      <rPr>
        <i/>
        <sz val="8"/>
        <color indexed="21"/>
        <rFont val="Times New Roman"/>
        <family val="1"/>
      </rPr>
      <t>Eurobonds Euros</t>
    </r>
  </si>
  <si>
    <r>
      <t xml:space="preserve">Eurobonos en $ Chilenos / </t>
    </r>
    <r>
      <rPr>
        <i/>
        <sz val="8"/>
        <color indexed="21"/>
        <rFont val="Times New Roman"/>
        <family val="1"/>
      </rPr>
      <t>Eurobonds Chilean Pesos</t>
    </r>
  </si>
  <si>
    <r>
      <t xml:space="preserve">Eurobonos en Yenes / </t>
    </r>
    <r>
      <rPr>
        <i/>
        <sz val="8"/>
        <color indexed="21"/>
        <rFont val="Times New Roman"/>
        <family val="1"/>
      </rPr>
      <t>Eurobonds Yens</t>
    </r>
  </si>
  <si>
    <r>
      <t xml:space="preserve">Letras de Tesorería en $ / </t>
    </r>
    <r>
      <rPr>
        <i/>
        <sz val="8"/>
        <color indexed="21"/>
        <rFont val="Times New Roman"/>
        <family val="1"/>
      </rPr>
      <t>Treasury Notes in $</t>
    </r>
  </si>
  <si>
    <r>
      <t xml:space="preserve">Letras de Tesorería en US$ / </t>
    </r>
    <r>
      <rPr>
        <i/>
        <sz val="8"/>
        <color indexed="21"/>
        <rFont val="Times New Roman"/>
        <family val="1"/>
      </rPr>
      <t>Treasury Notes in US$</t>
    </r>
  </si>
  <si>
    <r>
      <t>Obligaciones Negociables LP /</t>
    </r>
    <r>
      <rPr>
        <i/>
        <sz val="8"/>
        <color indexed="21"/>
        <rFont val="Times New Roman"/>
        <family val="1"/>
      </rPr>
      <t xml:space="preserve"> LT Negotiable Debt</t>
    </r>
  </si>
  <si>
    <r>
      <t xml:space="preserve">Préstamos de Consumo / </t>
    </r>
    <r>
      <rPr>
        <i/>
        <sz val="8"/>
        <color indexed="21"/>
        <rFont val="Times New Roman"/>
        <family val="1"/>
      </rPr>
      <t>Consumer Loans</t>
    </r>
  </si>
  <si>
    <r>
      <t>Otros Préstamos</t>
    </r>
    <r>
      <rPr>
        <i/>
        <sz val="8"/>
        <rFont val="Times New Roman"/>
        <family val="1"/>
      </rPr>
      <t xml:space="preserve"> </t>
    </r>
    <r>
      <rPr>
        <sz val="8"/>
        <rFont val="Times New Roman"/>
        <family val="1"/>
      </rPr>
      <t>/</t>
    </r>
    <r>
      <rPr>
        <i/>
        <sz val="8"/>
        <color indexed="21"/>
        <rFont val="Times New Roman"/>
        <family val="1"/>
      </rPr>
      <t xml:space="preserve"> Other Loans</t>
    </r>
  </si>
  <si>
    <r>
      <t xml:space="preserve">Plazo Fijo / </t>
    </r>
    <r>
      <rPr>
        <i/>
        <sz val="8"/>
        <color indexed="21"/>
        <rFont val="Times New Roman"/>
        <family val="1"/>
      </rPr>
      <t>Fixed Term</t>
    </r>
  </si>
  <si>
    <r>
      <t xml:space="preserve">Depósitos / </t>
    </r>
    <r>
      <rPr>
        <i/>
        <sz val="8"/>
        <color indexed="21"/>
        <rFont val="Times New Roman"/>
        <family val="1"/>
      </rPr>
      <t>Deposit</t>
    </r>
  </si>
  <si>
    <r>
      <t>Bonos Hipotecarios /</t>
    </r>
    <r>
      <rPr>
        <i/>
        <sz val="8"/>
        <color indexed="21"/>
        <rFont val="Times New Roman"/>
        <family val="1"/>
      </rPr>
      <t xml:space="preserve"> Mortgage Bonds</t>
    </r>
  </si>
  <si>
    <r>
      <t>Bonos Reajustables /</t>
    </r>
    <r>
      <rPr>
        <i/>
        <sz val="8"/>
        <color indexed="21"/>
        <rFont val="Times New Roman"/>
        <family val="1"/>
      </rPr>
      <t xml:space="preserve"> Readjustable Bonds</t>
    </r>
  </si>
  <si>
    <r>
      <t xml:space="preserve">(1) Datos al 31.12.2001 corresponde a cifras aproximadas a septiembre de 2001 / </t>
    </r>
    <r>
      <rPr>
        <i/>
        <sz val="9"/>
        <color indexed="21"/>
        <rFont val="Times New Roman"/>
        <family val="1"/>
      </rPr>
      <t>Approximate cipher to september 2001 to data as of 12.31.2001</t>
    </r>
  </si>
  <si>
    <r>
      <t xml:space="preserve">(3) Cifras a Octubre de 2001 / </t>
    </r>
    <r>
      <rPr>
        <i/>
        <sz val="9"/>
        <color indexed="21"/>
        <rFont val="Times New Roman"/>
        <family val="1"/>
      </rPr>
      <t>Cipher as of October 2001</t>
    </r>
  </si>
  <si>
    <t>ESTRUCTURA DE COMISIONES AL 31.12.2002</t>
  </si>
  <si>
    <t>COMMISSION STRUCTURE AS OF 12.31.2002</t>
  </si>
  <si>
    <t>Administradoras</t>
  </si>
  <si>
    <t>Comisión Fija (US$)</t>
  </si>
  <si>
    <t>Comisión Variable (% del salario)</t>
  </si>
  <si>
    <t>Comisión Variable (% fondo administrado)</t>
  </si>
  <si>
    <t>Comisión Variable (% rentabilidad fondo)</t>
  </si>
  <si>
    <t>% Comisión Administradora</t>
  </si>
  <si>
    <t>% Prima Cía. de Seguros</t>
  </si>
  <si>
    <t>Fixed Commission (US$)</t>
  </si>
  <si>
    <t>Variable Commission (% of salary)</t>
  </si>
  <si>
    <t>Variable Commission (% of fund managed</t>
  </si>
  <si>
    <t>Variable Commission (% over profit)</t>
  </si>
  <si>
    <t>Administrator Commission %</t>
  </si>
  <si>
    <t>% Insurance Commission</t>
  </si>
  <si>
    <t>SISTEMA DICIEMBRE 2002</t>
  </si>
  <si>
    <t>SYSTEM DECEMBER 2002</t>
  </si>
  <si>
    <t>SISTEMA DICIEMBRE 2001</t>
  </si>
  <si>
    <t>SYSTEM DECEMBER 2001</t>
  </si>
  <si>
    <t>Comisión Variable (% fondo administrado) (*)</t>
  </si>
  <si>
    <t>Variable Commission (% of fund managed) (*)</t>
  </si>
  <si>
    <t>0,2285 para fondo &lt; US$ 1.000 M</t>
  </si>
  <si>
    <t>0,14 para fondo &gt; US$ 1.000 M y &lt; US$ 1.200 M</t>
  </si>
  <si>
    <t>0,067 para fondo &gt; US$ 1.200 M y &lt; US$ 1.500 M</t>
  </si>
  <si>
    <r>
      <t xml:space="preserve">Fuente / </t>
    </r>
    <r>
      <rPr>
        <b/>
        <i/>
        <sz val="9"/>
        <color indexed="21"/>
        <rFont val="Times New Roman"/>
        <family val="1"/>
      </rPr>
      <t xml:space="preserve">Source: </t>
    </r>
    <r>
      <rPr>
        <b/>
        <sz val="9"/>
        <rFont val="Times New Roman"/>
        <family val="1"/>
      </rPr>
      <t xml:space="preserve">Boletín Estadístico Mensual SAFJP Enero 2002 / </t>
    </r>
    <r>
      <rPr>
        <b/>
        <i/>
        <sz val="9"/>
        <color indexed="21"/>
        <rFont val="Times New Roman"/>
        <family val="1"/>
      </rPr>
      <t>Statistical Monthly Bulletin SAFJP January 2002</t>
    </r>
  </si>
  <si>
    <r>
      <t xml:space="preserve">La comisión a nivel sistema corresponde a un promedio ponderado de acuerdo a la recaudación de los últimos seis meses / </t>
    </r>
    <r>
      <rPr>
        <i/>
        <sz val="9"/>
        <color indexed="21"/>
        <rFont val="Times New Roman"/>
        <family val="1"/>
      </rPr>
      <t>The commission to the system correspond to a average weighted by the funds collected in the las six months.</t>
    </r>
  </si>
  <si>
    <r>
      <t xml:space="preserve">Las comisiones se cobran sobre los salarios devengados en el mes indicado / </t>
    </r>
    <r>
      <rPr>
        <i/>
        <sz val="9"/>
        <color indexed="21"/>
        <rFont val="Times New Roman"/>
        <family val="1"/>
      </rPr>
      <t>Commissions are collected over the salaries earned in the indicate month.</t>
    </r>
  </si>
  <si>
    <r>
      <t xml:space="preserve">Fuente / </t>
    </r>
    <r>
      <rPr>
        <b/>
        <i/>
        <sz val="9"/>
        <color indexed="21"/>
        <rFont val="Times New Roman"/>
        <family val="1"/>
      </rPr>
      <t xml:space="preserve">Source: </t>
    </r>
    <r>
      <rPr>
        <sz val="9"/>
        <rFont val="Times New Roman"/>
        <family val="1"/>
      </rPr>
      <t>Futuro de Bolivia AFP</t>
    </r>
  </si>
  <si>
    <t>Pension Ass. Co. "Doverie"</t>
  </si>
  <si>
    <t>Pension Ins. Co. "Saglassie"</t>
  </si>
  <si>
    <t>Bulgarian Pension Ins. Co.</t>
  </si>
  <si>
    <t>Saving Coop. Pension Sec. Co. "Rodina"</t>
  </si>
  <si>
    <t>"Allianz" Bulgarian Pension Fund Manag. Co.</t>
  </si>
  <si>
    <t>ING Pension Ins. Co.</t>
  </si>
  <si>
    <t>Social Sec. Fund "Newton-SILA"</t>
  </si>
  <si>
    <t>Pension Ins. Co. "Lukoil Garant Bulgaria"</t>
  </si>
  <si>
    <t>SISTEMA JUNIO 2002</t>
  </si>
  <si>
    <t>SYSTEM JUNE 2002</t>
  </si>
  <si>
    <t>SISTEMA JUNIO 2001</t>
  </si>
  <si>
    <t>SYSTEM JUNE 2001</t>
  </si>
  <si>
    <r>
      <t xml:space="preserve">Fuente / </t>
    </r>
    <r>
      <rPr>
        <b/>
        <i/>
        <sz val="9"/>
        <color indexed="21"/>
        <rFont val="Times New Roman"/>
        <family val="1"/>
      </rPr>
      <t>Source:</t>
    </r>
    <r>
      <rPr>
        <b/>
        <sz val="9"/>
        <color indexed="21"/>
        <rFont val="Times New Roman"/>
        <family val="1"/>
      </rPr>
      <t xml:space="preserve"> </t>
    </r>
    <r>
      <rPr>
        <b/>
        <sz val="9"/>
        <rFont val="Times New Roman"/>
        <family val="1"/>
      </rPr>
      <t>Asofondos de Colombia</t>
    </r>
  </si>
  <si>
    <r>
      <t xml:space="preserve">Promedio Sistema: promedio ponderado por el promedio de saldos diarios de los fondos / </t>
    </r>
    <r>
      <rPr>
        <i/>
        <sz val="9"/>
        <color indexed="21"/>
        <rFont val="Times New Roman"/>
        <family val="1"/>
      </rPr>
      <t>Average System: average weighted by the average of daily balance of the funds.</t>
    </r>
  </si>
  <si>
    <r>
      <t xml:space="preserve">Comisión % calculada sobre el ingreso base de cotización / </t>
    </r>
    <r>
      <rPr>
        <i/>
        <sz val="9"/>
        <color indexed="21"/>
        <rFont val="Times New Roman"/>
        <family val="1"/>
      </rPr>
      <t>% Commission calculated over the base income of contribution.</t>
    </r>
  </si>
  <si>
    <t>ESTRUCTURA DE COMISIONES AL 30.06.2002</t>
  </si>
  <si>
    <t>COMMISSION STRUCTURE AS OF 06.30.2002</t>
  </si>
  <si>
    <t>0,35 o 0,6</t>
  </si>
  <si>
    <t>0,10 y menos</t>
  </si>
  <si>
    <t>0,35 o 0,6 y menos</t>
  </si>
  <si>
    <t>San José Pensiones</t>
  </si>
  <si>
    <t>INS Pensiones</t>
  </si>
  <si>
    <t>Popular Pensiones</t>
  </si>
  <si>
    <t>CCSS</t>
  </si>
  <si>
    <t>SISTEMA OCTUBRE 2001</t>
  </si>
  <si>
    <t>SYSTEM OCTOBER 2001</t>
  </si>
  <si>
    <r>
      <t>Fuente /</t>
    </r>
    <r>
      <rPr>
        <b/>
        <i/>
        <sz val="9"/>
        <color indexed="21"/>
        <rFont val="Times New Roman"/>
        <family val="1"/>
      </rPr>
      <t xml:space="preserve"> Source: </t>
    </r>
    <r>
      <rPr>
        <b/>
        <sz val="9"/>
        <rFont val="Times New Roman"/>
        <family val="1"/>
      </rPr>
      <t>Superintendencia de Pensiones.</t>
    </r>
  </si>
  <si>
    <r>
      <t xml:space="preserve">Las comisiones se calculan sobre los rendimientos diarios de los Fondos / </t>
    </r>
    <r>
      <rPr>
        <i/>
        <sz val="9"/>
        <color indexed="21"/>
        <rFont val="Times New Roman"/>
        <family val="1"/>
      </rPr>
      <t>Commissions are calculated over the income of the managed funds.</t>
    </r>
  </si>
  <si>
    <r>
      <t>Fuente /</t>
    </r>
    <r>
      <rPr>
        <b/>
        <i/>
        <sz val="9"/>
        <color indexed="21"/>
        <rFont val="Times New Roman"/>
        <family val="1"/>
      </rPr>
      <t xml:space="preserve"> Source: </t>
    </r>
    <r>
      <rPr>
        <b/>
        <sz val="9"/>
        <rFont val="Times New Roman"/>
        <family val="1"/>
      </rPr>
      <t xml:space="preserve">Asociación AFP A.G. Chile / </t>
    </r>
    <r>
      <rPr>
        <b/>
        <i/>
        <sz val="9"/>
        <color indexed="21"/>
        <rFont val="Times New Roman"/>
        <family val="1"/>
      </rPr>
      <t>AFP Association of Chile</t>
    </r>
  </si>
  <si>
    <r>
      <t xml:space="preserve">(*) Promedio Sistema: promedio ponderado por número de cotizantes totales de cada AFP / </t>
    </r>
    <r>
      <rPr>
        <i/>
        <sz val="9"/>
        <color indexed="21"/>
        <rFont val="Times New Roman"/>
        <family val="1"/>
      </rPr>
      <t>Average System: average weighted by the number of contributors of each AFP.</t>
    </r>
  </si>
  <si>
    <r>
      <t xml:space="preserve">Prima Cía. de Seguros: Costo real por concepto de prima de seguro de invalidez y sobrevivencia. / </t>
    </r>
    <r>
      <rPr>
        <i/>
        <sz val="9"/>
        <color indexed="21"/>
        <rFont val="Times New Roman"/>
        <family val="1"/>
      </rPr>
      <t>Insurance Commission: Real cost by concept of prima of disability and survival insurance.</t>
    </r>
  </si>
  <si>
    <t>Profuturo (1)</t>
  </si>
  <si>
    <t>% Prima Cía. de Seguros (*)</t>
  </si>
  <si>
    <t>% Insurance Commission (*)</t>
  </si>
  <si>
    <t>Banamex</t>
  </si>
  <si>
    <t>Principal</t>
  </si>
  <si>
    <t xml:space="preserve">                             Association of Collective Investment Institutions and Pension Funds (INVERCO)</t>
  </si>
  <si>
    <t>Bono 10 años</t>
  </si>
  <si>
    <t xml:space="preserve">   </t>
  </si>
  <si>
    <t>HUNGRÍA</t>
  </si>
  <si>
    <t>Papeles del Gobierno</t>
  </si>
  <si>
    <t>31.12.01</t>
  </si>
  <si>
    <t>Bulgaria (1)</t>
  </si>
  <si>
    <t>Activo Disponible</t>
  </si>
  <si>
    <t xml:space="preserve">                             Report to June 2001 and Annual Report 2000 of Financial Supervisor Authority of Hungary</t>
  </si>
  <si>
    <t>Renta Fija</t>
  </si>
  <si>
    <t>(1) FOGAFIN: Fondo de Garantías de Instituciones Financieras.</t>
  </si>
  <si>
    <t>Colombia (2)</t>
  </si>
  <si>
    <t>Costa Rica (3)</t>
  </si>
  <si>
    <t>Operaciones en tránsito</t>
  </si>
  <si>
    <t>Operaciones en Tránsito</t>
  </si>
  <si>
    <t>Bonos para Nuevos Proyectos</t>
  </si>
  <si>
    <t>Bonos de Agencias</t>
  </si>
  <si>
    <t>31.12.02</t>
  </si>
  <si>
    <t>Chile (4)</t>
  </si>
  <si>
    <t>Bolivia (5)</t>
  </si>
  <si>
    <t>Chile (4) (6)</t>
  </si>
  <si>
    <t>FOGAFIN (1)</t>
  </si>
  <si>
    <t xml:space="preserve">Depósitos a la Vista </t>
  </si>
  <si>
    <t>Derivados (posición neta)</t>
  </si>
  <si>
    <t>Depósitos a la Vista</t>
  </si>
  <si>
    <t>Derivados</t>
  </si>
  <si>
    <r>
      <t xml:space="preserve">Deuda pública / </t>
    </r>
    <r>
      <rPr>
        <i/>
        <sz val="8"/>
        <color indexed="21"/>
        <rFont val="Times New Roman"/>
        <family val="1"/>
      </rPr>
      <t>Public Debt</t>
    </r>
  </si>
  <si>
    <r>
      <t>Instituciones Financieras /</t>
    </r>
    <r>
      <rPr>
        <i/>
        <sz val="8"/>
        <color indexed="21"/>
        <rFont val="Times New Roman"/>
        <family val="1"/>
      </rPr>
      <t xml:space="preserve"> Financial Institutions</t>
    </r>
  </si>
  <si>
    <r>
      <t xml:space="preserve">Instituciones no vigiladas por la Superintendencia Bancaria / </t>
    </r>
    <r>
      <rPr>
        <i/>
        <sz val="8"/>
        <color indexed="21"/>
        <rFont val="Times New Roman"/>
        <family val="1"/>
      </rPr>
      <t>Institutions not supervised</t>
    </r>
  </si>
  <si>
    <r>
      <t xml:space="preserve">Inversiones en el Exterior / </t>
    </r>
    <r>
      <rPr>
        <i/>
        <sz val="8"/>
        <color indexed="21"/>
        <rFont val="Times New Roman"/>
        <family val="1"/>
      </rPr>
      <t>Foreign Investment</t>
    </r>
  </si>
  <si>
    <r>
      <t xml:space="preserve">Sector Asegurador (bonos) / </t>
    </r>
    <r>
      <rPr>
        <i/>
        <sz val="8"/>
        <color indexed="21"/>
        <rFont val="Times New Roman"/>
        <family val="1"/>
      </rPr>
      <t>Insurer Sector (bonds)</t>
    </r>
  </si>
  <si>
    <r>
      <t xml:space="preserve">Instituciones Financieras / </t>
    </r>
    <r>
      <rPr>
        <i/>
        <sz val="8"/>
        <color indexed="21"/>
        <rFont val="Times New Roman"/>
        <family val="1"/>
      </rPr>
      <t>Financial Institutions</t>
    </r>
  </si>
  <si>
    <r>
      <t xml:space="preserve">Fuente / </t>
    </r>
    <r>
      <rPr>
        <b/>
        <i/>
        <sz val="9"/>
        <color indexed="21"/>
        <rFont val="Times New Roman"/>
        <family val="1"/>
      </rPr>
      <t xml:space="preserve">Source: </t>
    </r>
    <r>
      <rPr>
        <b/>
        <sz val="9"/>
        <rFont val="Times New Roman"/>
        <family val="1"/>
      </rPr>
      <t xml:space="preserve">Informes Asofondos de Colombia / </t>
    </r>
    <r>
      <rPr>
        <b/>
        <i/>
        <sz val="9"/>
        <color indexed="21"/>
        <rFont val="Times New Roman"/>
        <family val="1"/>
      </rPr>
      <t xml:space="preserve"> Asofondos of Colombia Reports </t>
    </r>
  </si>
  <si>
    <r>
      <t xml:space="preserve">Instrumentos emitidos Bco. Central / </t>
    </r>
    <r>
      <rPr>
        <i/>
        <sz val="8"/>
        <color indexed="21"/>
        <rFont val="Times New Roman"/>
        <family val="1"/>
      </rPr>
      <t>Central Bank Notes</t>
    </r>
  </si>
  <si>
    <r>
      <t>Instrumentos emitidos Tesorería /</t>
    </r>
    <r>
      <rPr>
        <i/>
        <sz val="8"/>
        <color indexed="21"/>
        <rFont val="Times New Roman"/>
        <family val="1"/>
      </rPr>
      <t xml:space="preserve"> Treasury Notes</t>
    </r>
  </si>
  <si>
    <r>
      <t xml:space="preserve">Bonos de Reconocimento / </t>
    </r>
    <r>
      <rPr>
        <i/>
        <sz val="8"/>
        <color indexed="21"/>
        <rFont val="Times New Roman"/>
        <family val="1"/>
      </rPr>
      <t>Past Service Bonds</t>
    </r>
  </si>
  <si>
    <r>
      <t>Acciones /</t>
    </r>
    <r>
      <rPr>
        <i/>
        <sz val="8"/>
        <color indexed="21"/>
        <rFont val="Times New Roman"/>
        <family val="1"/>
      </rPr>
      <t xml:space="preserve"> Shares of Stock</t>
    </r>
  </si>
  <si>
    <r>
      <t xml:space="preserve">Bonos / </t>
    </r>
    <r>
      <rPr>
        <i/>
        <sz val="8"/>
        <color indexed="21"/>
        <rFont val="Times New Roman"/>
        <family val="1"/>
      </rPr>
      <t>Bonds</t>
    </r>
  </si>
  <si>
    <r>
      <t xml:space="preserve">Cuotas de Fondos de Inv. / </t>
    </r>
    <r>
      <rPr>
        <i/>
        <sz val="8"/>
        <color indexed="21"/>
        <rFont val="Times New Roman"/>
        <family val="1"/>
      </rPr>
      <t>Investment Fund Stakes</t>
    </r>
  </si>
  <si>
    <r>
      <t>Letras Hipotecarias /</t>
    </r>
    <r>
      <rPr>
        <i/>
        <sz val="8"/>
        <color indexed="21"/>
        <rFont val="Times New Roman"/>
        <family val="1"/>
      </rPr>
      <t xml:space="preserve"> Mortgage Notes</t>
    </r>
  </si>
  <si>
    <r>
      <t>Depósitos a Plazo /</t>
    </r>
    <r>
      <rPr>
        <i/>
        <sz val="8"/>
        <color indexed="21"/>
        <rFont val="Times New Roman"/>
        <family val="1"/>
      </rPr>
      <t xml:space="preserve"> Time Deposits</t>
    </r>
  </si>
  <si>
    <r>
      <t xml:space="preserve">Bonos Instituciones Financieras / </t>
    </r>
    <r>
      <rPr>
        <i/>
        <sz val="8"/>
        <color indexed="21"/>
        <rFont val="Times New Roman"/>
        <family val="1"/>
      </rPr>
      <t>Fin. Institution Bonds</t>
    </r>
  </si>
  <si>
    <r>
      <t>Acciones Instituciones Financieras /</t>
    </r>
    <r>
      <rPr>
        <i/>
        <sz val="8"/>
        <color indexed="21"/>
        <rFont val="Times New Roman"/>
        <family val="1"/>
      </rPr>
      <t xml:space="preserve"> Fin. Institution Shares</t>
    </r>
  </si>
  <si>
    <r>
      <t>Cuotas Fondos Mutuos y Acciones/</t>
    </r>
    <r>
      <rPr>
        <i/>
        <sz val="8"/>
        <color indexed="21"/>
        <rFont val="Times New Roman"/>
        <family val="1"/>
      </rPr>
      <t>Quota of Mutual Funds and Stocks</t>
    </r>
  </si>
  <si>
    <r>
      <t xml:space="preserve">Cuotas Fondos de Inv. Internacional / </t>
    </r>
    <r>
      <rPr>
        <i/>
        <sz val="8"/>
        <color indexed="21"/>
        <rFont val="Times New Roman"/>
        <family val="1"/>
      </rPr>
      <t>Quota of Foreign Investment Funds</t>
    </r>
  </si>
  <si>
    <r>
      <t xml:space="preserve">Instrumentos de Deuda / </t>
    </r>
    <r>
      <rPr>
        <i/>
        <sz val="8"/>
        <color indexed="21"/>
        <rFont val="Times New Roman"/>
        <family val="1"/>
      </rPr>
      <t>Foreign Securities</t>
    </r>
  </si>
  <si>
    <r>
      <t xml:space="preserve">Otros / </t>
    </r>
    <r>
      <rPr>
        <i/>
        <sz val="8"/>
        <color indexed="21"/>
        <rFont val="Times New Roman"/>
        <family val="1"/>
      </rPr>
      <t>Others</t>
    </r>
  </si>
  <si>
    <r>
      <t xml:space="preserve">Sector Extranjero / </t>
    </r>
    <r>
      <rPr>
        <b/>
        <i/>
        <sz val="11"/>
        <color indexed="21"/>
        <rFont val="Times New Roman"/>
        <family val="1"/>
      </rPr>
      <t>Foreing Sector</t>
    </r>
  </si>
  <si>
    <r>
      <t>Activos Disponibles /</t>
    </r>
    <r>
      <rPr>
        <b/>
        <i/>
        <sz val="11"/>
        <color indexed="21"/>
        <rFont val="Times New Roman"/>
        <family val="1"/>
      </rPr>
      <t xml:space="preserve"> Liquid Assets</t>
    </r>
  </si>
  <si>
    <r>
      <t>Fuente /</t>
    </r>
    <r>
      <rPr>
        <b/>
        <i/>
        <sz val="9"/>
        <rFont val="Times New Roman"/>
        <family val="1"/>
      </rPr>
      <t xml:space="preserve"> </t>
    </r>
    <r>
      <rPr>
        <b/>
        <i/>
        <sz val="9"/>
        <color indexed="21"/>
        <rFont val="Times New Roman"/>
        <family val="1"/>
      </rPr>
      <t>Source:</t>
    </r>
    <r>
      <rPr>
        <b/>
        <sz val="9"/>
        <color indexed="21"/>
        <rFont val="Times New Roman"/>
        <family val="1"/>
      </rPr>
      <t xml:space="preserve"> </t>
    </r>
    <r>
      <rPr>
        <b/>
        <sz val="9"/>
        <rFont val="Times New Roman"/>
        <family val="1"/>
      </rPr>
      <t>Asociación de Administradoras de Fondos de Inversión y Fideicomisos del Ecuador.</t>
    </r>
  </si>
  <si>
    <r>
      <t>Sector Empresas /</t>
    </r>
    <r>
      <rPr>
        <b/>
        <i/>
        <sz val="11"/>
        <color indexed="21"/>
        <rFont val="Times New Roman"/>
        <family val="1"/>
      </rPr>
      <t xml:space="preserve"> Corporate Sector</t>
    </r>
  </si>
  <si>
    <r>
      <t xml:space="preserve">Fuente / </t>
    </r>
    <r>
      <rPr>
        <b/>
        <i/>
        <sz val="9"/>
        <color indexed="21"/>
        <rFont val="Times New Roman"/>
        <family val="1"/>
      </rPr>
      <t xml:space="preserve">Source: </t>
    </r>
    <r>
      <rPr>
        <b/>
        <sz val="9"/>
        <rFont val="Times New Roman"/>
        <family val="1"/>
      </rPr>
      <t xml:space="preserve">Superintendencia de Pensiones de El Salvador / </t>
    </r>
    <r>
      <rPr>
        <b/>
        <i/>
        <sz val="9"/>
        <color indexed="21"/>
        <rFont val="Times New Roman"/>
        <family val="1"/>
      </rPr>
      <t>Pension Superintendence of El Salvador</t>
    </r>
  </si>
  <si>
    <r>
      <t xml:space="preserve">Cartera Interior / </t>
    </r>
    <r>
      <rPr>
        <b/>
        <i/>
        <sz val="11"/>
        <color indexed="21"/>
        <rFont val="Times New Roman"/>
        <family val="1"/>
      </rPr>
      <t>Domestic Portfolio</t>
    </r>
  </si>
  <si>
    <r>
      <t xml:space="preserve">Renta Fija Pública / </t>
    </r>
    <r>
      <rPr>
        <i/>
        <sz val="8"/>
        <color indexed="21"/>
        <rFont val="Times New Roman"/>
        <family val="1"/>
      </rPr>
      <t>Public Fixed Income</t>
    </r>
  </si>
  <si>
    <r>
      <t xml:space="preserve">Renta Fija Privada / </t>
    </r>
    <r>
      <rPr>
        <i/>
        <sz val="8"/>
        <color indexed="21"/>
        <rFont val="Times New Roman"/>
        <family val="1"/>
      </rPr>
      <t>Private Fixed Income</t>
    </r>
  </si>
  <si>
    <r>
      <t xml:space="preserve">Renta Variable / </t>
    </r>
    <r>
      <rPr>
        <i/>
        <sz val="8"/>
        <color indexed="21"/>
        <rFont val="Times New Roman"/>
        <family val="1"/>
      </rPr>
      <t>Variable Income</t>
    </r>
  </si>
  <si>
    <r>
      <t xml:space="preserve">Cartera Exterior / </t>
    </r>
    <r>
      <rPr>
        <b/>
        <i/>
        <sz val="11"/>
        <color indexed="21"/>
        <rFont val="Times New Roman"/>
        <family val="1"/>
      </rPr>
      <t>Foreign Portfolio</t>
    </r>
  </si>
  <si>
    <r>
      <t xml:space="preserve">Renta Fija / </t>
    </r>
    <r>
      <rPr>
        <i/>
        <sz val="8"/>
        <color indexed="21"/>
        <rFont val="Times New Roman"/>
        <family val="1"/>
      </rPr>
      <t>Fixed Income</t>
    </r>
  </si>
  <si>
    <r>
      <t>Renta Variable /</t>
    </r>
    <r>
      <rPr>
        <sz val="8"/>
        <color indexed="21"/>
        <rFont val="Times New Roman"/>
        <family val="1"/>
      </rPr>
      <t xml:space="preserve"> </t>
    </r>
    <r>
      <rPr>
        <i/>
        <sz val="8"/>
        <color indexed="21"/>
        <rFont val="Times New Roman"/>
        <family val="1"/>
      </rPr>
      <t>Variable Income</t>
    </r>
  </si>
  <si>
    <r>
      <t xml:space="preserve">Tesorería / </t>
    </r>
    <r>
      <rPr>
        <b/>
        <i/>
        <sz val="11"/>
        <color indexed="21"/>
        <rFont val="Times New Roman"/>
        <family val="1"/>
      </rPr>
      <t>Treasury</t>
    </r>
  </si>
  <si>
    <r>
      <t xml:space="preserve">Otros Activos / </t>
    </r>
    <r>
      <rPr>
        <b/>
        <i/>
        <sz val="11"/>
        <color indexed="21"/>
        <rFont val="Times New Roman"/>
        <family val="1"/>
      </rPr>
      <t>Other Assets</t>
    </r>
  </si>
  <si>
    <t>Títulos Públicos</t>
  </si>
  <si>
    <t xml:space="preserve">-    </t>
  </si>
  <si>
    <r>
      <t>Bonos del TGN /</t>
    </r>
    <r>
      <rPr>
        <i/>
        <sz val="8"/>
        <color indexed="21"/>
        <rFont val="Times New Roman"/>
        <family val="1"/>
      </rPr>
      <t xml:space="preserve"> TGN Bonds</t>
    </r>
  </si>
  <si>
    <r>
      <t xml:space="preserve">Letras del TGN / </t>
    </r>
    <r>
      <rPr>
        <i/>
        <sz val="8"/>
        <color indexed="21"/>
        <rFont val="Times New Roman"/>
        <family val="1"/>
      </rPr>
      <t>TGN Bills</t>
    </r>
  </si>
  <si>
    <r>
      <t xml:space="preserve">Valores Bco. Central Bolivia / </t>
    </r>
    <r>
      <rPr>
        <i/>
        <sz val="8"/>
        <color indexed="21"/>
        <rFont val="Times New Roman"/>
        <family val="1"/>
      </rPr>
      <t>Securities issued by Bolivia Central B.</t>
    </r>
  </si>
  <si>
    <r>
      <t xml:space="preserve">Bonos de Empresas / </t>
    </r>
    <r>
      <rPr>
        <i/>
        <sz val="8"/>
        <color indexed="21"/>
        <rFont val="Times New Roman"/>
        <family val="1"/>
      </rPr>
      <t>Company Bonds</t>
    </r>
  </si>
  <si>
    <r>
      <t xml:space="preserve">Depósitos a Plazo Fijo / </t>
    </r>
    <r>
      <rPr>
        <i/>
        <sz val="8"/>
        <color indexed="21"/>
        <rFont val="Times New Roman"/>
        <family val="1"/>
      </rPr>
      <t>Fixed Term Deposits</t>
    </r>
  </si>
  <si>
    <r>
      <t>Acciones /</t>
    </r>
    <r>
      <rPr>
        <i/>
        <sz val="9"/>
        <color indexed="21"/>
        <rFont val="Times New Roman"/>
        <family val="1"/>
      </rPr>
      <t xml:space="preserve"> Stocks</t>
    </r>
  </si>
  <si>
    <r>
      <t xml:space="preserve">Inmobiliarias / </t>
    </r>
    <r>
      <rPr>
        <i/>
        <sz val="9"/>
        <color indexed="21"/>
        <rFont val="Times New Roman"/>
        <family val="1"/>
      </rPr>
      <t>Real State</t>
    </r>
  </si>
  <si>
    <r>
      <t xml:space="preserve">Depósitos a Plazo / </t>
    </r>
    <r>
      <rPr>
        <i/>
        <sz val="9"/>
        <color indexed="21"/>
        <rFont val="Times New Roman"/>
        <family val="1"/>
      </rPr>
      <t>Time Deposits</t>
    </r>
  </si>
  <si>
    <r>
      <t xml:space="preserve">Fondos de Inversión RF / </t>
    </r>
    <r>
      <rPr>
        <i/>
        <sz val="9"/>
        <color indexed="21"/>
        <rFont val="Times New Roman"/>
        <family val="1"/>
      </rPr>
      <t>RF Investment Funds</t>
    </r>
  </si>
  <si>
    <r>
      <t>Fondos de Inversión RV /</t>
    </r>
    <r>
      <rPr>
        <i/>
        <sz val="9"/>
        <color indexed="21"/>
        <rFont val="Times New Roman"/>
        <family val="1"/>
      </rPr>
      <t xml:space="preserve"> RV Investment Funds</t>
    </r>
  </si>
  <si>
    <r>
      <t>Prestamos a Participantes /</t>
    </r>
    <r>
      <rPr>
        <i/>
        <sz val="9"/>
        <color indexed="21"/>
        <rFont val="Times New Roman"/>
        <family val="1"/>
      </rPr>
      <t xml:space="preserve"> Loans to participants</t>
    </r>
  </si>
  <si>
    <r>
      <t>Financiamiento Inmobiliario /</t>
    </r>
    <r>
      <rPr>
        <i/>
        <sz val="9"/>
        <color indexed="21"/>
        <rFont val="Times New Roman"/>
        <family val="1"/>
      </rPr>
      <t xml:space="preserve"> Real States Loan</t>
    </r>
  </si>
  <si>
    <r>
      <t xml:space="preserve">Bonos / </t>
    </r>
    <r>
      <rPr>
        <i/>
        <sz val="9"/>
        <color indexed="21"/>
        <rFont val="Times New Roman"/>
        <family val="1"/>
      </rPr>
      <t>Bonds</t>
    </r>
  </si>
  <si>
    <r>
      <t>Títulos Públicos /</t>
    </r>
    <r>
      <rPr>
        <i/>
        <sz val="9"/>
        <color indexed="21"/>
        <rFont val="Times New Roman"/>
        <family val="1"/>
      </rPr>
      <t xml:space="preserve"> Public Bonds</t>
    </r>
  </si>
  <si>
    <r>
      <t>Otros /</t>
    </r>
    <r>
      <rPr>
        <i/>
        <sz val="9"/>
        <color indexed="21"/>
        <rFont val="Times New Roman"/>
        <family val="1"/>
      </rPr>
      <t xml:space="preserve"> Others</t>
    </r>
  </si>
  <si>
    <r>
      <t>Operaciones con Patrocinadoras /</t>
    </r>
    <r>
      <rPr>
        <i/>
        <sz val="9"/>
        <color indexed="21"/>
        <rFont val="Times New Roman"/>
        <family val="1"/>
      </rPr>
      <t xml:space="preserve"> Transaction Sponsors</t>
    </r>
  </si>
  <si>
    <r>
      <t xml:space="preserve">Fuente / </t>
    </r>
    <r>
      <rPr>
        <b/>
        <i/>
        <sz val="9"/>
        <color indexed="21"/>
        <rFont val="Times New Roman"/>
        <family val="1"/>
      </rPr>
      <t>Source:</t>
    </r>
    <r>
      <rPr>
        <b/>
        <sz val="9"/>
        <rFont val="Times New Roman"/>
        <family val="1"/>
      </rPr>
      <t xml:space="preserve"> </t>
    </r>
    <r>
      <rPr>
        <sz val="9"/>
        <rFont val="Times New Roman"/>
        <family val="1"/>
      </rPr>
      <t xml:space="preserve">Boletín Estadístico Consilidado ABRAPP / </t>
    </r>
    <r>
      <rPr>
        <i/>
        <sz val="9"/>
        <color indexed="21"/>
        <rFont val="Times New Roman"/>
        <family val="1"/>
      </rPr>
      <t>ABRAPP Consolidated Statistical Bulletin</t>
    </r>
  </si>
  <si>
    <r>
      <t xml:space="preserve">NOTA: </t>
    </r>
    <r>
      <rPr>
        <sz val="9"/>
        <rFont val="Times New Roman"/>
        <family val="1"/>
      </rPr>
      <t xml:space="preserve">Las cifras corresponden a Fondos de Pensiones Voluntarios / </t>
    </r>
    <r>
      <rPr>
        <i/>
        <sz val="9"/>
        <color indexed="21"/>
        <rFont val="Times New Roman"/>
        <family val="1"/>
      </rPr>
      <t>Cipher correspond to Voluntary Pension Funds.</t>
    </r>
  </si>
  <si>
    <r>
      <t>Renta Variable /</t>
    </r>
    <r>
      <rPr>
        <i/>
        <sz val="9"/>
        <color indexed="21"/>
        <rFont val="Times New Roman"/>
        <family val="1"/>
      </rPr>
      <t xml:space="preserve"> Variable Income</t>
    </r>
  </si>
  <si>
    <r>
      <t xml:space="preserve">Renta Fija Públicos / </t>
    </r>
    <r>
      <rPr>
        <i/>
        <sz val="9"/>
        <color indexed="21"/>
        <rFont val="Times New Roman"/>
        <family val="1"/>
      </rPr>
      <t>Public Fixed Income</t>
    </r>
  </si>
  <si>
    <r>
      <t xml:space="preserve">Renta Fija Privados / </t>
    </r>
    <r>
      <rPr>
        <i/>
        <sz val="9"/>
        <color indexed="21"/>
        <rFont val="Times New Roman"/>
        <family val="1"/>
      </rPr>
      <t>Private Fixed Income</t>
    </r>
  </si>
  <si>
    <r>
      <t xml:space="preserve">Fondos PGBL / </t>
    </r>
    <r>
      <rPr>
        <i/>
        <sz val="9"/>
        <color indexed="21"/>
        <rFont val="Times New Roman"/>
        <family val="1"/>
      </rPr>
      <t>PGBL Funds</t>
    </r>
  </si>
  <si>
    <r>
      <t xml:space="preserve">Participación Accionaria / </t>
    </r>
    <r>
      <rPr>
        <i/>
        <sz val="9"/>
        <color indexed="21"/>
        <rFont val="Times New Roman"/>
        <family val="1"/>
      </rPr>
      <t>Stock Share</t>
    </r>
  </si>
  <si>
    <r>
      <t xml:space="preserve">Otros / </t>
    </r>
    <r>
      <rPr>
        <i/>
        <sz val="9"/>
        <color indexed="21"/>
        <rFont val="Times New Roman"/>
        <family val="1"/>
      </rPr>
      <t>Others</t>
    </r>
  </si>
  <si>
    <r>
      <t xml:space="preserve">Fuente / </t>
    </r>
    <r>
      <rPr>
        <b/>
        <sz val="9"/>
        <color indexed="21"/>
        <rFont val="Times New Roman"/>
        <family val="1"/>
      </rPr>
      <t xml:space="preserve">Source: </t>
    </r>
    <r>
      <rPr>
        <b/>
        <sz val="9"/>
        <rFont val="Times New Roman"/>
        <family val="1"/>
      </rPr>
      <t xml:space="preserve">Informe ANAPP a Diciembre 2001 y Diciembre 2000  / </t>
    </r>
    <r>
      <rPr>
        <b/>
        <i/>
        <sz val="9"/>
        <color indexed="21"/>
        <rFont val="Times New Roman"/>
        <family val="1"/>
      </rPr>
      <t>ANAPP Report to December 2001 and December 2000.</t>
    </r>
  </si>
  <si>
    <r>
      <t>Sector Estatal /</t>
    </r>
    <r>
      <rPr>
        <b/>
        <i/>
        <sz val="11"/>
        <color indexed="21"/>
        <rFont val="Times New Roman"/>
        <family val="1"/>
      </rPr>
      <t xml:space="preserve"> State Sector</t>
    </r>
  </si>
  <si>
    <r>
      <t xml:space="preserve">Títulos del Gobierno / </t>
    </r>
    <r>
      <rPr>
        <i/>
        <sz val="8"/>
        <color indexed="21"/>
        <rFont val="Times New Roman"/>
        <family val="1"/>
      </rPr>
      <t>Government Securities</t>
    </r>
  </si>
  <si>
    <r>
      <t>Bonos Municipales /</t>
    </r>
    <r>
      <rPr>
        <i/>
        <sz val="8"/>
        <color indexed="21"/>
        <rFont val="Times New Roman"/>
        <family val="1"/>
      </rPr>
      <t xml:space="preserve"> Municipal Bonds</t>
    </r>
  </si>
  <si>
    <r>
      <t xml:space="preserve">Depósitos Bancarios / </t>
    </r>
    <r>
      <rPr>
        <i/>
        <sz val="8"/>
        <color indexed="21"/>
        <rFont val="Times New Roman"/>
        <family val="1"/>
      </rPr>
      <t>Bank Deposits</t>
    </r>
  </si>
  <si>
    <r>
      <t xml:space="preserve">Inmobiliario / </t>
    </r>
    <r>
      <rPr>
        <i/>
        <sz val="8"/>
        <color indexed="21"/>
        <rFont val="Times New Roman"/>
        <family val="1"/>
      </rPr>
      <t>Real Estate</t>
    </r>
  </si>
  <si>
    <r>
      <t xml:space="preserve">Bonos Hipotecarios / </t>
    </r>
    <r>
      <rPr>
        <i/>
        <sz val="8"/>
        <color indexed="21"/>
        <rFont val="Times New Roman"/>
        <family val="1"/>
      </rPr>
      <t>Mortgage Bonds</t>
    </r>
  </si>
  <si>
    <r>
      <t xml:space="preserve">Otras Inversiones / </t>
    </r>
    <r>
      <rPr>
        <i/>
        <sz val="8"/>
        <color indexed="21"/>
        <rFont val="Times New Roman"/>
        <family val="1"/>
      </rPr>
      <t>Other Investments</t>
    </r>
  </si>
  <si>
    <r>
      <t xml:space="preserve">Fuente / </t>
    </r>
    <r>
      <rPr>
        <b/>
        <i/>
        <sz val="9"/>
        <color indexed="21"/>
        <rFont val="Times New Roman"/>
        <family val="1"/>
      </rPr>
      <t xml:space="preserve">Source: </t>
    </r>
    <r>
      <rPr>
        <b/>
        <sz val="9"/>
        <rFont val="Times New Roman"/>
        <family val="1"/>
      </rPr>
      <t>State Insurance Supervision Agency, SISA</t>
    </r>
  </si>
  <si>
    <r>
      <t xml:space="preserve">Ahorro Voluntario: </t>
    </r>
    <r>
      <rPr>
        <sz val="9"/>
        <rFont val="Times New Roman"/>
        <family val="1"/>
      </rPr>
      <t xml:space="preserve">considera las cotizaciones voluntarias y depósitos convenidos / </t>
    </r>
    <r>
      <rPr>
        <b/>
        <i/>
        <sz val="9"/>
        <color indexed="21"/>
        <rFont val="Times New Roman"/>
        <family val="1"/>
      </rPr>
      <t xml:space="preserve">Voluntary Saving: </t>
    </r>
    <r>
      <rPr>
        <i/>
        <sz val="9"/>
        <color indexed="21"/>
        <rFont val="Times New Roman"/>
        <family val="1"/>
      </rPr>
      <t>consider the voluntary contributions and covenant deposit.</t>
    </r>
  </si>
  <si>
    <r>
      <t xml:space="preserve">Seguro de Cesantía: </t>
    </r>
    <r>
      <rPr>
        <sz val="9"/>
        <rFont val="Times New Roman"/>
        <family val="1"/>
      </rPr>
      <t xml:space="preserve">comienza a operar el 01 de octubre de 2002. Los fondos serán administrados por la Administradora de Fondos de Cesantía, AFC de Chile, Sociedad Anónima cuyos accionistas son las siete AFP de Chile / </t>
    </r>
    <r>
      <rPr>
        <b/>
        <i/>
        <sz val="9"/>
        <color indexed="21"/>
        <rFont val="Times New Roman"/>
        <family val="1"/>
      </rPr>
      <t xml:space="preserve">Unemployment Insurance: </t>
    </r>
    <r>
      <rPr>
        <i/>
        <sz val="9"/>
        <color indexed="21"/>
        <rFont val="Times New Roman"/>
        <family val="1"/>
      </rPr>
      <t>start operating on october 01, 2002. Funds will be managed by the Administradora de Fondos de Cesantía, AFC de Chile, Anonymous Society whose shareholders are the seven AFP of Chile.</t>
    </r>
  </si>
  <si>
    <r>
      <t xml:space="preserve">Seguro de Cesantía: </t>
    </r>
    <r>
      <rPr>
        <sz val="9"/>
        <rFont val="Times New Roman"/>
        <family val="1"/>
      </rPr>
      <t xml:space="preserve">comienza a operar el 01 de octubre de 2002. Los fondos serán administrados por la Administradora de Fondos de Cesantía, AFC de Chile, Sociedad Anónima cuyos accionistas son las siete AFP de Chile / </t>
    </r>
    <r>
      <rPr>
        <b/>
        <i/>
        <sz val="9"/>
        <color indexed="21"/>
        <rFont val="Times New Roman"/>
        <family val="1"/>
      </rPr>
      <t>Unemployment Insurance:</t>
    </r>
    <r>
      <rPr>
        <i/>
        <sz val="9"/>
        <color indexed="21"/>
        <rFont val="Times New Roman"/>
        <family val="1"/>
      </rPr>
      <t xml:space="preserve"> start operating on october 01, 2002. Funds will be managed by the Administradora de Fondos de Cesantía, AFC de Chile, Anonymous Society whose shareholders are the seven AFP of Chile.</t>
    </r>
  </si>
  <si>
    <r>
      <t xml:space="preserve">Ahorro Voluntario: </t>
    </r>
    <r>
      <rPr>
        <sz val="9"/>
        <rFont val="Times New Roman"/>
        <family val="1"/>
      </rPr>
      <t>considera las cotizaciones voluntarias y depósitos convenidos /</t>
    </r>
    <r>
      <rPr>
        <i/>
        <sz val="9"/>
        <color indexed="21"/>
        <rFont val="Times New Roman"/>
        <family val="1"/>
      </rPr>
      <t xml:space="preserve"> </t>
    </r>
    <r>
      <rPr>
        <b/>
        <i/>
        <sz val="9"/>
        <color indexed="21"/>
        <rFont val="Times New Roman"/>
        <family val="1"/>
      </rPr>
      <t xml:space="preserve">Voluntary Saving: </t>
    </r>
    <r>
      <rPr>
        <i/>
        <sz val="9"/>
        <color indexed="21"/>
        <rFont val="Times New Roman"/>
        <family val="1"/>
      </rPr>
      <t>consider the voluntary contributions and covenant deposit.</t>
    </r>
  </si>
  <si>
    <t>PAISES SIN REFORMA (Ahorro Voluntario):</t>
  </si>
  <si>
    <t>PAISES REFORMADOS (Ahorro Obligatorio):</t>
  </si>
  <si>
    <r>
      <t>Fuente /</t>
    </r>
    <r>
      <rPr>
        <b/>
        <i/>
        <sz val="9"/>
        <rFont val="Times New Roman"/>
        <family val="1"/>
      </rPr>
      <t xml:space="preserve"> </t>
    </r>
    <r>
      <rPr>
        <b/>
        <i/>
        <sz val="9"/>
        <color indexed="21"/>
        <rFont val="Times New Roman"/>
        <family val="1"/>
      </rPr>
      <t>Source:</t>
    </r>
    <r>
      <rPr>
        <b/>
        <sz val="9"/>
        <rFont val="Times New Roman"/>
        <family val="1"/>
      </rPr>
      <t xml:space="preserve"> Comité Regulador de Actividades de los Fondos de Pensiones</t>
    </r>
  </si>
  <si>
    <t xml:space="preserve">                              Committee on Regulation of Activities of Accumulation Pension Funds</t>
  </si>
  <si>
    <r>
      <t xml:space="preserve">                              </t>
    </r>
    <r>
      <rPr>
        <b/>
        <i/>
        <sz val="9"/>
        <color indexed="21"/>
        <rFont val="Times New Roman"/>
        <family val="1"/>
      </rPr>
      <t>Committee on Regulation of Activities of  Accumulation Pension Funds</t>
    </r>
  </si>
  <si>
    <r>
      <t>NOTA:</t>
    </r>
    <r>
      <rPr>
        <sz val="10"/>
        <rFont val="Times New Roman"/>
        <family val="1"/>
      </rPr>
      <t xml:space="preserve"> Cifras Nominales. Corresponden al valor del fondo en dólares del año / </t>
    </r>
    <r>
      <rPr>
        <i/>
        <sz val="10"/>
        <color indexed="21"/>
        <rFont val="Times New Roman"/>
        <family val="1"/>
      </rPr>
      <t>Nominal cipher. It correspond to fund value in dollars of year.</t>
    </r>
  </si>
  <si>
    <t>Fondo en $</t>
  </si>
  <si>
    <t>Fondo en US$</t>
  </si>
  <si>
    <t>REPUBLICA DOMINICANA</t>
  </si>
  <si>
    <t>POLONIA</t>
  </si>
  <si>
    <t>AIG</t>
  </si>
  <si>
    <t>Bankowy</t>
  </si>
  <si>
    <t>Pocztylion</t>
  </si>
  <si>
    <t>Polsat</t>
  </si>
  <si>
    <r>
      <t xml:space="preserve">ANEXO I / </t>
    </r>
    <r>
      <rPr>
        <b/>
        <i/>
        <sz val="24"/>
        <color indexed="21"/>
        <rFont val="Times New Roman"/>
        <family val="1"/>
      </rPr>
      <t>ANNEX I</t>
    </r>
  </si>
  <si>
    <r>
      <t>AFILIADOS, COTIZANTES Y FONDOS DE PENSIONES POR PAIS AL 31.12.2002 /</t>
    </r>
    <r>
      <rPr>
        <b/>
        <i/>
        <sz val="20"/>
        <color indexed="21"/>
        <rFont val="Times New Roman"/>
        <family val="1"/>
      </rPr>
      <t xml:space="preserve"> AFFILIATES, CONTRIBUTORS AND PENSION FUNDS BY COUNTRY AS OF 12.31.2002</t>
    </r>
  </si>
  <si>
    <r>
      <t>ANEXO II /</t>
    </r>
    <r>
      <rPr>
        <b/>
        <i/>
        <sz val="24"/>
        <color indexed="21"/>
        <rFont val="Times New Roman"/>
        <family val="1"/>
      </rPr>
      <t xml:space="preserve"> ANNEX II</t>
    </r>
  </si>
  <si>
    <r>
      <t xml:space="preserve">COMPOSICION DE LA CARTERA POR PAIS AL 31.12.2002 / </t>
    </r>
    <r>
      <rPr>
        <b/>
        <i/>
        <sz val="20"/>
        <color indexed="21"/>
        <rFont val="Times New Roman"/>
        <family val="1"/>
      </rPr>
      <t>PORTFOLIO COMPOSITION BY COUNTRY AS OF 12.31.2002</t>
    </r>
  </si>
  <si>
    <r>
      <t xml:space="preserve">ANEXO III / </t>
    </r>
    <r>
      <rPr>
        <b/>
        <i/>
        <sz val="24"/>
        <color indexed="21"/>
        <rFont val="Times New Roman"/>
        <family val="1"/>
      </rPr>
      <t>ANNEX III</t>
    </r>
  </si>
  <si>
    <r>
      <t xml:space="preserve">FUERZA DE VENTAS Y VOLUMEN DE TRASPASOS POR PAIS AL 31.12.2002 / </t>
    </r>
    <r>
      <rPr>
        <b/>
        <i/>
        <sz val="20"/>
        <color indexed="21"/>
        <rFont val="Times New Roman"/>
        <family val="1"/>
      </rPr>
      <t>SALES FORCE AND VOLUME OF SWITCHOVERS BY COUNTRY AS OF 12.31.2002</t>
    </r>
  </si>
  <si>
    <r>
      <t>ANEXO IV /</t>
    </r>
    <r>
      <rPr>
        <b/>
        <i/>
        <sz val="24"/>
        <color indexed="21"/>
        <rFont val="Times New Roman"/>
        <family val="1"/>
      </rPr>
      <t xml:space="preserve"> ANNEX IV</t>
    </r>
  </si>
  <si>
    <r>
      <t xml:space="preserve">ESTRUCTURA DE COTIZACION POR PAIS AL 31.12.2002 / </t>
    </r>
    <r>
      <rPr>
        <b/>
        <i/>
        <sz val="20"/>
        <color indexed="21"/>
        <rFont val="Times New Roman"/>
        <family val="1"/>
      </rPr>
      <t>CONTRIBUTION STRUCTURE BY COUNTRY AS OF 12.31.2002</t>
    </r>
  </si>
  <si>
    <r>
      <t xml:space="preserve">ANEXO V / </t>
    </r>
    <r>
      <rPr>
        <b/>
        <i/>
        <sz val="24"/>
        <color indexed="21"/>
        <rFont val="Times New Roman"/>
        <family val="1"/>
      </rPr>
      <t>ANNEX V</t>
    </r>
  </si>
  <si>
    <r>
      <t xml:space="preserve">ESTRUCTURA DE COMISIONES POR PAIS AL 31.12.2002 / </t>
    </r>
    <r>
      <rPr>
        <b/>
        <i/>
        <sz val="20"/>
        <color indexed="21"/>
        <rFont val="Times New Roman"/>
        <family val="1"/>
      </rPr>
      <t>COMMISSION STRUCTURE BY COUNTRY AS OF 12.31.2002</t>
    </r>
  </si>
  <si>
    <r>
      <t>ANEXO VI /</t>
    </r>
    <r>
      <rPr>
        <b/>
        <i/>
        <sz val="24"/>
        <color indexed="21"/>
        <rFont val="Times New Roman"/>
        <family val="1"/>
      </rPr>
      <t xml:space="preserve"> ANNEX VI</t>
    </r>
  </si>
  <si>
    <r>
      <t xml:space="preserve">PARTICIPACION ACCIONARIA DE LAS ADMINISTRADORAS POR PAIS AL 31.12.2002 / </t>
    </r>
    <r>
      <rPr>
        <b/>
        <i/>
        <sz val="20"/>
        <color indexed="21"/>
        <rFont val="Times New Roman"/>
        <family val="1"/>
      </rPr>
      <t>SHAREHOLDING STRUCTURE OF ADMINISTRATORS BY COUNTRY AS OF 12.31.2002</t>
    </r>
  </si>
  <si>
    <r>
      <t xml:space="preserve">(1) Ingreso Promedio Imponible al 31.05.2002 / </t>
    </r>
    <r>
      <rPr>
        <i/>
        <sz val="9"/>
        <color indexed="21"/>
        <rFont val="Times New Roman"/>
        <family val="1"/>
      </rPr>
      <t>Taxable Average Salary as of 05.31.2002</t>
    </r>
  </si>
  <si>
    <r>
      <t xml:space="preserve">(5) Rentabilidad de los fondos de pensiones en colones al 30.06.2002 / </t>
    </r>
    <r>
      <rPr>
        <i/>
        <sz val="9"/>
        <color indexed="21"/>
        <rFont val="Times New Roman"/>
        <family val="1"/>
      </rPr>
      <t>Profitability of pension funds in colones as of 06.30.2002</t>
    </r>
  </si>
  <si>
    <t>Rate of return adjusted by inflation (%)</t>
  </si>
  <si>
    <r>
      <t xml:space="preserve">Anual / </t>
    </r>
    <r>
      <rPr>
        <b/>
        <i/>
        <sz val="11"/>
        <color indexed="21"/>
        <rFont val="Times New Roman"/>
        <family val="1"/>
      </rPr>
      <t>Annual</t>
    </r>
  </si>
  <si>
    <r>
      <t xml:space="preserve">Histórica / </t>
    </r>
    <r>
      <rPr>
        <b/>
        <i/>
        <sz val="11"/>
        <color indexed="21"/>
        <rFont val="Times New Roman"/>
        <family val="1"/>
      </rPr>
      <t>Average Annual</t>
    </r>
  </si>
  <si>
    <t>COMPOSICION DE LA CARTERA AL 30.06.2002</t>
  </si>
  <si>
    <t>PORTFOLIO COMPOSITION AS OF 06.30.2002</t>
  </si>
  <si>
    <t>Activos Netos</t>
  </si>
  <si>
    <r>
      <t>Fuente /</t>
    </r>
    <r>
      <rPr>
        <b/>
        <i/>
        <sz val="9"/>
        <rFont val="Times New Roman"/>
        <family val="1"/>
      </rPr>
      <t xml:space="preserve"> </t>
    </r>
    <r>
      <rPr>
        <b/>
        <i/>
        <sz val="9"/>
        <color indexed="21"/>
        <rFont val="Times New Roman"/>
        <family val="1"/>
      </rPr>
      <t xml:space="preserve">Source: </t>
    </r>
    <r>
      <rPr>
        <b/>
        <sz val="9"/>
        <rFont val="Times New Roman"/>
        <family val="1"/>
      </rPr>
      <t xml:space="preserve">Informe Cámara de Fondos de Pensiones de Polonia / </t>
    </r>
    <r>
      <rPr>
        <b/>
        <i/>
        <sz val="9"/>
        <color indexed="21"/>
        <rFont val="Times New Roman"/>
        <family val="1"/>
      </rPr>
      <t>Polish Pension Funds Chamber Report.</t>
    </r>
  </si>
  <si>
    <r>
      <t xml:space="preserve">Federación Internacional de Administradoras de Fondos de Pensiones / </t>
    </r>
    <r>
      <rPr>
        <b/>
        <i/>
        <sz val="8"/>
        <color indexed="21"/>
        <rFont val="Times New Roman"/>
        <family val="1"/>
      </rPr>
      <t>International Federation of Pension Fund Administrators</t>
    </r>
  </si>
  <si>
    <t>FIAP</t>
  </si>
  <si>
    <t>ARGENTINA</t>
  </si>
  <si>
    <t xml:space="preserve">Administradoras </t>
  </si>
  <si>
    <r>
      <t xml:space="preserve">AFILIADOS / </t>
    </r>
    <r>
      <rPr>
        <b/>
        <i/>
        <sz val="11"/>
        <color indexed="21"/>
        <rFont val="Times New Roman"/>
        <family val="1"/>
      </rPr>
      <t>AFFILIATES</t>
    </r>
  </si>
  <si>
    <r>
      <t xml:space="preserve">COTIZANTES / </t>
    </r>
    <r>
      <rPr>
        <b/>
        <i/>
        <sz val="11"/>
        <color indexed="21"/>
        <rFont val="Times New Roman"/>
        <family val="1"/>
      </rPr>
      <t>CONTRIBUTORS</t>
    </r>
  </si>
  <si>
    <t xml:space="preserve">Administrators </t>
  </si>
  <si>
    <t>%</t>
  </si>
  <si>
    <t>Arauca - Bit</t>
  </si>
  <si>
    <t>Consolidar</t>
  </si>
  <si>
    <t>Futura</t>
  </si>
  <si>
    <t>Máxima</t>
  </si>
  <si>
    <t>Nación</t>
  </si>
  <si>
    <t>Previsol</t>
  </si>
  <si>
    <t>Profesión + Auge</t>
  </si>
  <si>
    <t>Unidos</t>
  </si>
  <si>
    <t>TOTAL</t>
  </si>
  <si>
    <t>BRASIL - ABRAPP</t>
  </si>
  <si>
    <t>BRASIL - ANAPP</t>
  </si>
  <si>
    <t>BOLIVIA</t>
  </si>
  <si>
    <t>Futuro de Bolivia</t>
  </si>
  <si>
    <t>Previsión BBV</t>
  </si>
  <si>
    <t>Cuprum</t>
  </si>
  <si>
    <t>Habitat</t>
  </si>
  <si>
    <t>Planvital</t>
  </si>
  <si>
    <t>Santa María</t>
  </si>
  <si>
    <t>Summa Bansander</t>
  </si>
  <si>
    <t>COLOMBIA</t>
  </si>
  <si>
    <t xml:space="preserve"> </t>
  </si>
  <si>
    <t>Colfondos</t>
  </si>
  <si>
    <t>Horizonte</t>
  </si>
  <si>
    <t>Porvenir</t>
  </si>
  <si>
    <t>Protección</t>
  </si>
  <si>
    <t>COSTA RICA</t>
  </si>
  <si>
    <t>ECUADOR</t>
  </si>
  <si>
    <t>Administradoras / Fondos</t>
  </si>
  <si>
    <t>Administrators / Funds</t>
  </si>
  <si>
    <t>EL SALVADOR</t>
  </si>
  <si>
    <t>Confía</t>
  </si>
  <si>
    <t>Profuturo</t>
  </si>
  <si>
    <t>ESPAÑA</t>
  </si>
  <si>
    <t>MEXICO</t>
  </si>
  <si>
    <t>Banorte</t>
  </si>
  <si>
    <t>Inbursa</t>
  </si>
  <si>
    <t>Profuturo GNP</t>
  </si>
  <si>
    <t>Santander</t>
  </si>
  <si>
    <t>Tepeyac</t>
  </si>
  <si>
    <t>XXI</t>
  </si>
  <si>
    <t>Zurich</t>
  </si>
  <si>
    <t>PERU</t>
  </si>
  <si>
    <t>URUGUAY</t>
  </si>
  <si>
    <t>Integración</t>
  </si>
  <si>
    <t>República</t>
  </si>
  <si>
    <t>-</t>
  </si>
  <si>
    <t>Participación</t>
  </si>
  <si>
    <t>Var. %</t>
  </si>
  <si>
    <t>Administrators</t>
  </si>
  <si>
    <t>de Mercado</t>
  </si>
  <si>
    <t>Market Share</t>
  </si>
  <si>
    <t>CHILE</t>
  </si>
  <si>
    <t>Previ</t>
  </si>
  <si>
    <t>Sistel</t>
  </si>
  <si>
    <t>Funcef</t>
  </si>
  <si>
    <t>Petros</t>
  </si>
  <si>
    <t>Centrus</t>
  </si>
  <si>
    <t>Valia</t>
  </si>
  <si>
    <t>ItauBanco</t>
  </si>
  <si>
    <t>Forluz</t>
  </si>
  <si>
    <t>Real Grandeza</t>
  </si>
  <si>
    <t>Aerus</t>
  </si>
  <si>
    <t>Fapes</t>
  </si>
  <si>
    <t>Telos</t>
  </si>
  <si>
    <t>Banesprev</t>
  </si>
  <si>
    <t>CCF</t>
  </si>
  <si>
    <t>Funbep</t>
  </si>
  <si>
    <t>Otros</t>
  </si>
  <si>
    <r>
      <t xml:space="preserve">Fuente / </t>
    </r>
    <r>
      <rPr>
        <b/>
        <sz val="10"/>
        <color indexed="21"/>
        <rFont val="Times New Roman"/>
        <family val="1"/>
      </rPr>
      <t xml:space="preserve">Source: </t>
    </r>
    <r>
      <rPr>
        <b/>
        <sz val="10"/>
        <rFont val="Times New Roman"/>
        <family val="1"/>
      </rPr>
      <t>República AFAP</t>
    </r>
  </si>
  <si>
    <r>
      <t xml:space="preserve">Fondo </t>
    </r>
    <r>
      <rPr>
        <b/>
        <sz val="8"/>
        <rFont val="Times New Roman"/>
        <family val="1"/>
      </rPr>
      <t>(Miles US$)</t>
    </r>
  </si>
  <si>
    <r>
      <t xml:space="preserve">Fund </t>
    </r>
    <r>
      <rPr>
        <b/>
        <i/>
        <sz val="8"/>
        <color indexed="21"/>
        <rFont val="Times New Roman"/>
        <family val="1"/>
      </rPr>
      <t>(US$ Thousand)</t>
    </r>
  </si>
  <si>
    <t>Afiliados</t>
  </si>
  <si>
    <t>Cotizantes</t>
  </si>
  <si>
    <t>Fondos</t>
  </si>
  <si>
    <t>Fondo</t>
  </si>
  <si>
    <t>US$</t>
  </si>
  <si>
    <t>Valut-Transit</t>
  </si>
  <si>
    <t>Narodny</t>
  </si>
  <si>
    <t>State Pension Fund</t>
  </si>
  <si>
    <t>Kazakhstan</t>
  </si>
  <si>
    <t>Narodny Bank</t>
  </si>
  <si>
    <t>Kazakhmys</t>
  </si>
  <si>
    <t>Kurmet</t>
  </si>
  <si>
    <t>Senim</t>
  </si>
  <si>
    <t>Korgau</t>
  </si>
  <si>
    <t>Fonditel</t>
  </si>
  <si>
    <t>Paises Latinoamericanos</t>
  </si>
  <si>
    <t>Latin American Countries</t>
  </si>
  <si>
    <t>Argentina</t>
  </si>
  <si>
    <t>Colombia</t>
  </si>
  <si>
    <t>Chile</t>
  </si>
  <si>
    <t>Ecuador</t>
  </si>
  <si>
    <t>Guatemala</t>
  </si>
  <si>
    <t>Honduras</t>
  </si>
  <si>
    <t>México</t>
  </si>
  <si>
    <t>Perú</t>
  </si>
  <si>
    <t>Uruguay</t>
  </si>
  <si>
    <t>Venezuela</t>
  </si>
  <si>
    <t>España</t>
  </si>
  <si>
    <t>PAISES</t>
  </si>
  <si>
    <t>LATINOAMERICANOS</t>
  </si>
  <si>
    <t>EUROPEOS</t>
  </si>
  <si>
    <t>Fondos de Pensión Privados Obligatorios</t>
  </si>
  <si>
    <t>Fondos de Pensión Privados Voluntarios</t>
  </si>
  <si>
    <t>Mandatory Privatized Pension Funds</t>
  </si>
  <si>
    <t>Voluntary Privatized Pension Funds</t>
  </si>
  <si>
    <t>n.d.</t>
  </si>
  <si>
    <t xml:space="preserve">TOTAL </t>
  </si>
  <si>
    <t xml:space="preserve">Administradoras (*) </t>
  </si>
  <si>
    <r>
      <t xml:space="preserve">(*) Ranking de administradoras según tamaño del Fondo / </t>
    </r>
    <r>
      <rPr>
        <i/>
        <sz val="9"/>
        <color indexed="21"/>
        <rFont val="Times New Roman"/>
        <family val="1"/>
      </rPr>
      <t>Ranking of administrators according to the size of the fund.</t>
    </r>
  </si>
  <si>
    <r>
      <t xml:space="preserve">Fuente / </t>
    </r>
    <r>
      <rPr>
        <b/>
        <sz val="9"/>
        <color indexed="21"/>
        <rFont val="Times New Roman"/>
        <family val="1"/>
      </rPr>
      <t xml:space="preserve">Source: </t>
    </r>
    <r>
      <rPr>
        <b/>
        <sz val="9"/>
        <rFont val="Times New Roman"/>
        <family val="1"/>
      </rPr>
      <t>Asociación de Administradoras de Fondos de Inversión y Fideicomisos del Ecuador.</t>
    </r>
  </si>
  <si>
    <t xml:space="preserve">                              Association of Investment and Fideicomisos Fund Administrators.</t>
  </si>
  <si>
    <r>
      <t xml:space="preserve">Fuente / </t>
    </r>
    <r>
      <rPr>
        <b/>
        <sz val="9"/>
        <color indexed="21"/>
        <rFont val="Times New Roman"/>
        <family val="1"/>
      </rPr>
      <t xml:space="preserve">Source: </t>
    </r>
    <r>
      <rPr>
        <b/>
        <sz val="9"/>
        <rFont val="Times New Roman"/>
        <family val="1"/>
      </rPr>
      <t>Asociación de Instituciones de Inversión Colectiva y Fondos de Pensiones (INVERCO)</t>
    </r>
  </si>
  <si>
    <t>LATIN AMERICAN</t>
  </si>
  <si>
    <t>COUNTRIES</t>
  </si>
  <si>
    <t>EUROPEAN</t>
  </si>
  <si>
    <t>TOTAL FIAP (*)</t>
  </si>
  <si>
    <r>
      <t xml:space="preserve">Patrimonio </t>
    </r>
    <r>
      <rPr>
        <b/>
        <sz val="8"/>
        <rFont val="Times New Roman"/>
        <family val="1"/>
      </rPr>
      <t>(Miles US$)</t>
    </r>
  </si>
  <si>
    <t>Cuscatlán</t>
  </si>
  <si>
    <t>Vida Plena</t>
  </si>
  <si>
    <t>MILES DE</t>
  </si>
  <si>
    <t>EUROS</t>
  </si>
  <si>
    <t>B.S.C.H.</t>
  </si>
  <si>
    <t>Provida</t>
  </si>
  <si>
    <t>Ucrania</t>
  </si>
  <si>
    <r>
      <t xml:space="preserve">Fuente / </t>
    </r>
    <r>
      <rPr>
        <b/>
        <sz val="9"/>
        <color indexed="21"/>
        <rFont val="Times New Roman"/>
        <family val="1"/>
      </rPr>
      <t xml:space="preserve">Source: </t>
    </r>
    <r>
      <rPr>
        <b/>
        <sz val="9"/>
        <rFont val="Times New Roman"/>
        <family val="1"/>
      </rPr>
      <t xml:space="preserve">Superintendencia de Pensiones de Costa Rica / </t>
    </r>
    <r>
      <rPr>
        <b/>
        <i/>
        <sz val="9"/>
        <color indexed="21"/>
        <rFont val="Times New Roman"/>
        <family val="1"/>
      </rPr>
      <t>Pension Superintendence of Costa Rica</t>
    </r>
  </si>
  <si>
    <r>
      <t xml:space="preserve">Fuente / </t>
    </r>
    <r>
      <rPr>
        <b/>
        <i/>
        <sz val="9"/>
        <color indexed="21"/>
        <rFont val="Times New Roman"/>
        <family val="1"/>
      </rPr>
      <t>Source:</t>
    </r>
    <r>
      <rPr>
        <b/>
        <sz val="9"/>
        <rFont val="Times New Roman"/>
        <family val="1"/>
      </rPr>
      <t xml:space="preserve">Superintendencia de AFP de Chile / </t>
    </r>
    <r>
      <rPr>
        <b/>
        <i/>
        <sz val="9"/>
        <color indexed="21"/>
        <rFont val="Times New Roman"/>
        <family val="1"/>
      </rPr>
      <t>AFP Superintendence of Chile</t>
    </r>
  </si>
  <si>
    <t>Miles de Reales</t>
  </si>
  <si>
    <t>Tipo de cambio</t>
  </si>
  <si>
    <t>Miles de US$</t>
  </si>
  <si>
    <t>HUNGRIA</t>
  </si>
  <si>
    <t>31.12.2000</t>
  </si>
  <si>
    <r>
      <t xml:space="preserve">PARTICIPANTES / </t>
    </r>
    <r>
      <rPr>
        <b/>
        <i/>
        <sz val="11"/>
        <color indexed="21"/>
        <rFont val="Times New Roman"/>
        <family val="1"/>
      </rPr>
      <t>PARTICIPANTS</t>
    </r>
  </si>
  <si>
    <t xml:space="preserve">-   </t>
  </si>
  <si>
    <t>Bancomer</t>
  </si>
  <si>
    <t>PANAMA</t>
  </si>
  <si>
    <t>Integra</t>
  </si>
  <si>
    <t>Winterhur Pensiones</t>
  </si>
  <si>
    <t>2000</t>
  </si>
  <si>
    <r>
      <t xml:space="preserve">COTIZANTES: Número de cuentas individuales con recaudación acreditada desde la fecha de inicio / </t>
    </r>
    <r>
      <rPr>
        <i/>
        <sz val="9"/>
        <color indexed="21"/>
        <rFont val="Times New Roman"/>
        <family val="1"/>
      </rPr>
      <t>CONTRIBUTORS: Number of individual accounts with contributions from the initiation date.</t>
    </r>
  </si>
  <si>
    <t xml:space="preserve">                              </t>
  </si>
  <si>
    <r>
      <t xml:space="preserve">Fuente / </t>
    </r>
    <r>
      <rPr>
        <b/>
        <i/>
        <sz val="9"/>
        <color indexed="21"/>
        <rFont val="Times New Roman"/>
        <family val="1"/>
      </rPr>
      <t>Source</t>
    </r>
    <r>
      <rPr>
        <b/>
        <sz val="9"/>
        <color indexed="21"/>
        <rFont val="Times New Roman"/>
        <family val="1"/>
      </rPr>
      <t xml:space="preserve">: </t>
    </r>
    <r>
      <rPr>
        <b/>
        <sz val="9"/>
        <rFont val="Times New Roman"/>
        <family val="1"/>
      </rPr>
      <t xml:space="preserve">Superintendencia de Pensiones de El Salvador / </t>
    </r>
    <r>
      <rPr>
        <b/>
        <i/>
        <sz val="9"/>
        <color indexed="21"/>
        <rFont val="Times New Roman"/>
        <family val="1"/>
      </rPr>
      <t>Pension Superintendence of El Salvador</t>
    </r>
  </si>
  <si>
    <r>
      <t xml:space="preserve">Fuente / </t>
    </r>
    <r>
      <rPr>
        <b/>
        <i/>
        <sz val="9"/>
        <color indexed="21"/>
        <rFont val="Times New Roman"/>
        <family val="1"/>
      </rPr>
      <t>Source</t>
    </r>
    <r>
      <rPr>
        <b/>
        <sz val="9"/>
        <rFont val="Times New Roman"/>
        <family val="1"/>
      </rPr>
      <t>: Progreso AFP</t>
    </r>
  </si>
  <si>
    <t>Bolivia</t>
  </si>
  <si>
    <r>
      <t>Activos</t>
    </r>
    <r>
      <rPr>
        <b/>
        <sz val="8"/>
        <rFont val="Times New Roman"/>
        <family val="1"/>
      </rPr>
      <t xml:space="preserve"> (Miles US$)</t>
    </r>
  </si>
  <si>
    <r>
      <t xml:space="preserve">Assets </t>
    </r>
    <r>
      <rPr>
        <b/>
        <i/>
        <sz val="8"/>
        <color indexed="21"/>
        <rFont val="Times New Roman"/>
        <family val="1"/>
      </rPr>
      <t>(US$ Thousand)</t>
    </r>
  </si>
  <si>
    <t>Commercial Union</t>
  </si>
  <si>
    <t>Skarbiec-Emerytura</t>
  </si>
  <si>
    <t>DOM</t>
  </si>
  <si>
    <t>PLN (miles)</t>
  </si>
  <si>
    <t>Fondos Pichincha/Porvenir</t>
  </si>
  <si>
    <t>Produfondos/Fondo Bienestar</t>
  </si>
  <si>
    <t>Prorenta</t>
  </si>
  <si>
    <t xml:space="preserve">                             Association of Investment and Pension Funds (INVERCO)</t>
  </si>
  <si>
    <t>R$ miles</t>
  </si>
  <si>
    <t>US$ miles</t>
  </si>
  <si>
    <t>Kunaev</t>
  </si>
  <si>
    <t>30.06.2001</t>
  </si>
  <si>
    <t>Economus</t>
  </si>
  <si>
    <t>Adpacific/La Seguridad</t>
  </si>
  <si>
    <r>
      <t xml:space="preserve">Adpacific/La Seguridad </t>
    </r>
    <r>
      <rPr>
        <sz val="8"/>
        <rFont val="Times New Roman"/>
        <family val="1"/>
      </rPr>
      <t>(US$)</t>
    </r>
  </si>
  <si>
    <t>AFP Génesis/Cesantía</t>
  </si>
  <si>
    <t>Unión Vida</t>
  </si>
  <si>
    <t>Allianz Polska</t>
  </si>
  <si>
    <t>EGO</t>
  </si>
  <si>
    <t>BULGARIA</t>
  </si>
  <si>
    <t>COTIZANTES / CONTRIBUTORS</t>
  </si>
  <si>
    <t>Pension Insurance Company "Saglasie"</t>
  </si>
  <si>
    <t>Saving Cooperative Pension Security Company " Rodina"</t>
  </si>
  <si>
    <t>ING Pension Insurance Company</t>
  </si>
  <si>
    <t>Social Security Fund "Newton-SILA"</t>
  </si>
  <si>
    <t>Pension Insurance Company "Lukoil Garant Bulgaria"</t>
  </si>
  <si>
    <r>
      <t xml:space="preserve">Fuente / </t>
    </r>
    <r>
      <rPr>
        <b/>
        <sz val="10"/>
        <color indexed="21"/>
        <rFont val="Times New Roman"/>
        <family val="1"/>
      </rPr>
      <t xml:space="preserve">Source: </t>
    </r>
    <r>
      <rPr>
        <b/>
        <sz val="10"/>
        <rFont val="Times New Roman"/>
        <family val="1"/>
      </rPr>
      <t>State Insurance Supervision Agency, SISA</t>
    </r>
  </si>
  <si>
    <t>DM</t>
  </si>
  <si>
    <r>
      <t xml:space="preserve">FONDOS ADMINISTRADOS / </t>
    </r>
    <r>
      <rPr>
        <b/>
        <i/>
        <sz val="11"/>
        <color indexed="21"/>
        <rFont val="Times New Roman"/>
        <family val="1"/>
      </rPr>
      <t>FUNDS MANAGED</t>
    </r>
  </si>
  <si>
    <r>
      <t>(Miles US$ /</t>
    </r>
    <r>
      <rPr>
        <b/>
        <i/>
        <sz val="11"/>
        <color indexed="21"/>
        <rFont val="Times New Roman"/>
        <family val="1"/>
      </rPr>
      <t xml:space="preserve"> US$ Thousand</t>
    </r>
    <r>
      <rPr>
        <b/>
        <sz val="11"/>
        <rFont val="Times New Roman"/>
        <family val="1"/>
      </rPr>
      <t>)</t>
    </r>
  </si>
  <si>
    <t>B.B.V.A.</t>
  </si>
  <si>
    <t>Pension Insurance Co. "Lukoil Garant Bulgaria"</t>
  </si>
  <si>
    <t>Fundación Copel</t>
  </si>
  <si>
    <t>NefteGaz-Dem</t>
  </si>
  <si>
    <t>Otan</t>
  </si>
  <si>
    <t>PhillipMorris Kazakhstan</t>
  </si>
  <si>
    <t>ABN AMRO - KaspijMunaiGaz</t>
  </si>
  <si>
    <t xml:space="preserve">Horizonte </t>
  </si>
  <si>
    <t xml:space="preserve">Magister </t>
  </si>
  <si>
    <t xml:space="preserve">Crecer </t>
  </si>
  <si>
    <t>Crecer</t>
  </si>
  <si>
    <t>MILES</t>
  </si>
  <si>
    <r>
      <t>AFILIADOS/</t>
    </r>
    <r>
      <rPr>
        <b/>
        <sz val="11"/>
        <color indexed="21"/>
        <rFont val="Times New Roman"/>
        <family val="1"/>
      </rPr>
      <t>AFFILATES</t>
    </r>
  </si>
  <si>
    <t>30.09.2001</t>
  </si>
  <si>
    <t>evolución</t>
  </si>
  <si>
    <t xml:space="preserve">El Salvador </t>
  </si>
  <si>
    <t>El Salvador</t>
  </si>
  <si>
    <t>Panamá</t>
  </si>
  <si>
    <t xml:space="preserve">Panamá </t>
  </si>
  <si>
    <t>pib miles</t>
  </si>
  <si>
    <r>
      <t xml:space="preserve">Fuente / </t>
    </r>
    <r>
      <rPr>
        <b/>
        <sz val="9"/>
        <color indexed="21"/>
        <rFont val="Times New Roman"/>
        <family val="1"/>
      </rPr>
      <t xml:space="preserve">Source: </t>
    </r>
    <r>
      <rPr>
        <b/>
        <sz val="9"/>
        <rFont val="Times New Roman"/>
        <family val="1"/>
      </rPr>
      <t xml:space="preserve">Superintendencia de Pensiones, Valores y Seguros </t>
    </r>
  </si>
  <si>
    <r>
      <t xml:space="preserve">                            </t>
    </r>
    <r>
      <rPr>
        <b/>
        <i/>
        <sz val="9"/>
        <color indexed="21"/>
        <rFont val="Times New Roman"/>
        <family val="1"/>
      </rPr>
      <t xml:space="preserve"> Superintendence of Pensions, Values and Insurances </t>
    </r>
  </si>
  <si>
    <r>
      <t xml:space="preserve">Fondo (Miles de US$) / </t>
    </r>
    <r>
      <rPr>
        <b/>
        <i/>
        <sz val="11"/>
        <color indexed="21"/>
        <rFont val="Times New Roman"/>
        <family val="1"/>
      </rPr>
      <t xml:space="preserve">Fund (US$ Thousand) </t>
    </r>
  </si>
  <si>
    <t>Orígenes</t>
  </si>
  <si>
    <r>
      <t xml:space="preserve">Fuente / </t>
    </r>
    <r>
      <rPr>
        <b/>
        <i/>
        <sz val="9"/>
        <color indexed="21"/>
        <rFont val="Times New Roman"/>
        <family val="1"/>
      </rPr>
      <t xml:space="preserve">Source: </t>
    </r>
    <r>
      <rPr>
        <b/>
        <sz val="9"/>
        <rFont val="Times New Roman"/>
        <family val="1"/>
      </rPr>
      <t xml:space="preserve">Informes de AFP - Asofondos de Colombia / </t>
    </r>
    <r>
      <rPr>
        <b/>
        <i/>
        <sz val="9"/>
        <color indexed="21"/>
        <rFont val="Times New Roman"/>
        <family val="1"/>
      </rPr>
      <t>AFP Reports - Asofondos de Colombia</t>
    </r>
  </si>
  <si>
    <r>
      <t xml:space="preserve">Fuente / </t>
    </r>
    <r>
      <rPr>
        <b/>
        <i/>
        <sz val="9"/>
        <color indexed="21"/>
        <rFont val="Times New Roman"/>
        <family val="1"/>
      </rPr>
      <t>Source:</t>
    </r>
    <r>
      <rPr>
        <b/>
        <sz val="9"/>
        <rFont val="Times New Roman"/>
        <family val="1"/>
      </rPr>
      <t xml:space="preserve">  Boletín Estadístico Consolidado ABRAPP /  </t>
    </r>
    <r>
      <rPr>
        <b/>
        <i/>
        <sz val="9"/>
        <color indexed="21"/>
        <rFont val="Times New Roman"/>
        <family val="1"/>
      </rPr>
      <t>ABRAPP Consolidated Statistical Bulletin</t>
    </r>
  </si>
  <si>
    <r>
      <t xml:space="preserve">Fuente / </t>
    </r>
    <r>
      <rPr>
        <b/>
        <i/>
        <sz val="9"/>
        <color indexed="21"/>
        <rFont val="Times New Roman"/>
        <family val="1"/>
      </rPr>
      <t>Source:</t>
    </r>
    <r>
      <rPr>
        <b/>
        <sz val="9"/>
        <rFont val="Times New Roman"/>
        <family val="1"/>
      </rPr>
      <t xml:space="preserve">  Boletín Estadístico Consolidado ABRAPP / </t>
    </r>
    <r>
      <rPr>
        <b/>
        <i/>
        <sz val="9"/>
        <color indexed="21"/>
        <rFont val="Times New Roman"/>
        <family val="1"/>
      </rPr>
      <t>ABRAPP Consolidated Statistical Bulletin.</t>
    </r>
  </si>
  <si>
    <r>
      <t xml:space="preserve">Fuente / </t>
    </r>
    <r>
      <rPr>
        <b/>
        <i/>
        <sz val="9"/>
        <color indexed="21"/>
        <rFont val="Times New Roman"/>
        <family val="1"/>
      </rPr>
      <t>Source:</t>
    </r>
    <r>
      <rPr>
        <b/>
        <sz val="9"/>
        <rFont val="Times New Roman"/>
        <family val="1"/>
      </rPr>
      <t xml:space="preserve"> Superintendencia de AFP de Chile / </t>
    </r>
    <r>
      <rPr>
        <b/>
        <i/>
        <sz val="9"/>
        <color indexed="21"/>
        <rFont val="Times New Roman"/>
        <family val="1"/>
      </rPr>
      <t>AFP Superintendence of Chile</t>
    </r>
  </si>
  <si>
    <r>
      <t xml:space="preserve">Fuente / </t>
    </r>
    <r>
      <rPr>
        <b/>
        <sz val="9"/>
        <color indexed="21"/>
        <rFont val="Times New Roman"/>
        <family val="1"/>
      </rPr>
      <t xml:space="preserve">Source: </t>
    </r>
    <r>
      <rPr>
        <b/>
        <sz val="9"/>
        <rFont val="Times New Roman"/>
        <family val="1"/>
      </rPr>
      <t xml:space="preserve">Superintendencia de Banca y Seguros / </t>
    </r>
    <r>
      <rPr>
        <b/>
        <i/>
        <sz val="9"/>
        <color indexed="21"/>
        <rFont val="Times New Roman"/>
        <family val="1"/>
      </rPr>
      <t>Superintendence of Bank and Insurance</t>
    </r>
  </si>
  <si>
    <r>
      <t xml:space="preserve">Fuente / </t>
    </r>
    <r>
      <rPr>
        <b/>
        <i/>
        <sz val="9"/>
        <color indexed="21"/>
        <rFont val="Times New Roman"/>
        <family val="1"/>
      </rPr>
      <t>Source</t>
    </r>
    <r>
      <rPr>
        <b/>
        <sz val="9"/>
        <color indexed="21"/>
        <rFont val="Times New Roman"/>
        <family val="1"/>
      </rPr>
      <t xml:space="preserve">: </t>
    </r>
    <r>
      <rPr>
        <b/>
        <sz val="9"/>
        <rFont val="Times New Roman"/>
        <family val="1"/>
      </rPr>
      <t>Asociación Mexicana de Administradoras de Fondos para el Retiro</t>
    </r>
  </si>
  <si>
    <r>
      <t xml:space="preserve">                             </t>
    </r>
    <r>
      <rPr>
        <b/>
        <i/>
        <sz val="9"/>
        <color indexed="21"/>
        <rFont val="Times New Roman"/>
        <family val="1"/>
      </rPr>
      <t>Mexican Association of Retirement Funds Administrators.</t>
    </r>
  </si>
  <si>
    <t>Skandia</t>
  </si>
  <si>
    <r>
      <t xml:space="preserve">Fuente / </t>
    </r>
    <r>
      <rPr>
        <b/>
        <i/>
        <sz val="9"/>
        <color indexed="21"/>
        <rFont val="Times New Roman"/>
        <family val="1"/>
      </rPr>
      <t>Source</t>
    </r>
    <r>
      <rPr>
        <b/>
        <sz val="9"/>
        <color indexed="21"/>
        <rFont val="Times New Roman"/>
        <family val="1"/>
      </rPr>
      <t xml:space="preserve">: </t>
    </r>
    <r>
      <rPr>
        <b/>
        <sz val="9"/>
        <rFont val="Times New Roman"/>
        <family val="1"/>
      </rPr>
      <t xml:space="preserve">CONSAR (afiliados) y PROCESAR (cotizantes) / </t>
    </r>
    <r>
      <rPr>
        <b/>
        <i/>
        <sz val="9"/>
        <color indexed="21"/>
        <rFont val="Times New Roman"/>
        <family val="1"/>
      </rPr>
      <t>CONSAR (affiliates) and PROCESAR (contributors)</t>
    </r>
  </si>
  <si>
    <t>Paises Europeos y Asiáticos</t>
  </si>
  <si>
    <t>European and Asiatic Countries</t>
  </si>
  <si>
    <t>Administradoras (*)</t>
  </si>
  <si>
    <t>FONDOS ADMINISTRADOS AL 30.06.2002</t>
  </si>
  <si>
    <t>FUNDS MANAGED AS OF 06.30.2002</t>
  </si>
  <si>
    <t>NUMERO DE AFILIADOS AL 30.06.2002</t>
  </si>
  <si>
    <t>NUMBER OF AFFILIATES AS OF 06.30.2002</t>
  </si>
  <si>
    <t>30.06.2002</t>
  </si>
  <si>
    <t>Var. 02-01</t>
  </si>
  <si>
    <t>02-01</t>
  </si>
  <si>
    <t>Met</t>
  </si>
  <si>
    <r>
      <t xml:space="preserve">Afiliados / </t>
    </r>
    <r>
      <rPr>
        <b/>
        <i/>
        <sz val="11"/>
        <color indexed="21"/>
        <rFont val="Times New Roman"/>
        <family val="1"/>
      </rPr>
      <t>Affiliates</t>
    </r>
  </si>
  <si>
    <t>Magister</t>
  </si>
  <si>
    <t>La Caixa</t>
  </si>
  <si>
    <t>Banco Popular</t>
  </si>
  <si>
    <t>Banco Sabadell</t>
  </si>
  <si>
    <t>Bancaja</t>
  </si>
  <si>
    <t>Caja Mediterráneo</t>
  </si>
  <si>
    <t>Grupo Skandia</t>
  </si>
  <si>
    <t>Caja Cataluña</t>
  </si>
  <si>
    <t>Caja Navarra</t>
  </si>
  <si>
    <t>Caja Rural</t>
  </si>
  <si>
    <t>Bankinter</t>
  </si>
  <si>
    <t>Banco Atlantico</t>
  </si>
  <si>
    <t>Grupo Deutsche Bank</t>
  </si>
  <si>
    <t>02 - 01</t>
  </si>
  <si>
    <t>Jun. 2002</t>
  </si>
  <si>
    <t>Miles $</t>
  </si>
  <si>
    <t>Tipo de Cambio</t>
  </si>
  <si>
    <t>FONDO DE CAPITALIZACION COLECTIVA</t>
  </si>
  <si>
    <t>Fondos de Pensión Obligatorios</t>
  </si>
  <si>
    <t>Fondos de Pensión Voluntarios</t>
  </si>
  <si>
    <t>Fundacao Cesp</t>
  </si>
  <si>
    <t>Postalis</t>
  </si>
  <si>
    <t>Pension Assurance Company " Douverie"</t>
  </si>
  <si>
    <t>"Allianz" Bulgarian Pension Fund Management Company</t>
  </si>
  <si>
    <t>Miles de colones</t>
  </si>
  <si>
    <t xml:space="preserve">-  </t>
  </si>
  <si>
    <t>Seguro Social</t>
  </si>
  <si>
    <t>Grupo Caser</t>
  </si>
  <si>
    <t>Caja Madrid</t>
  </si>
  <si>
    <t>Mapfre</t>
  </si>
  <si>
    <t>Ibercaja</t>
  </si>
  <si>
    <t>Fondos de Pensión Obligatorios (Servidores Públicos)</t>
  </si>
  <si>
    <t>UlarUmit</t>
  </si>
  <si>
    <t>Capital</t>
  </si>
  <si>
    <t>31.12.2001</t>
  </si>
  <si>
    <r>
      <t xml:space="preserve">Fuente / </t>
    </r>
    <r>
      <rPr>
        <b/>
        <i/>
        <sz val="9"/>
        <color indexed="21"/>
        <rFont val="Times New Roman"/>
        <family val="1"/>
      </rPr>
      <t>Source</t>
    </r>
    <r>
      <rPr>
        <b/>
        <sz val="9"/>
        <rFont val="Times New Roman"/>
        <family val="1"/>
      </rPr>
      <t xml:space="preserve">: Informe ANAPP / </t>
    </r>
    <r>
      <rPr>
        <b/>
        <i/>
        <sz val="9"/>
        <color indexed="21"/>
        <rFont val="Times New Roman"/>
        <family val="1"/>
      </rPr>
      <t>ANAPP Report</t>
    </r>
  </si>
  <si>
    <r>
      <t xml:space="preserve">Fuente / </t>
    </r>
    <r>
      <rPr>
        <b/>
        <sz val="9"/>
        <color indexed="21"/>
        <rFont val="Times New Roman"/>
        <family val="1"/>
      </rPr>
      <t xml:space="preserve">Source: </t>
    </r>
    <r>
      <rPr>
        <b/>
        <sz val="9"/>
        <rFont val="Times New Roman"/>
        <family val="1"/>
      </rPr>
      <t>Bolsa Boliviana de Valores</t>
    </r>
  </si>
  <si>
    <t>BN - Vital</t>
  </si>
  <si>
    <t>INS - Bancrédito Pensiones</t>
  </si>
  <si>
    <t>Interfin - Banex</t>
  </si>
  <si>
    <t>Confía San José Pensiones</t>
  </si>
  <si>
    <t>Caja Costarricense  de S.S.</t>
  </si>
  <si>
    <t>Participes</t>
  </si>
  <si>
    <t xml:space="preserve">                             Annual Report 2001 of Financial Supervisor Authority of Hungary</t>
  </si>
  <si>
    <r>
      <t xml:space="preserve">Fuente / </t>
    </r>
    <r>
      <rPr>
        <b/>
        <i/>
        <sz val="9"/>
        <color indexed="21"/>
        <rFont val="Times New Roman"/>
        <family val="1"/>
      </rPr>
      <t>Source:</t>
    </r>
    <r>
      <rPr>
        <b/>
        <sz val="9"/>
        <rFont val="Times New Roman"/>
        <family val="1"/>
      </rPr>
      <t xml:space="preserve"> Informe Anual 2001 de la Autoridad Financiera Supervisora de Hungría</t>
    </r>
  </si>
  <si>
    <t>01-00</t>
  </si>
  <si>
    <t>Var. 01-00</t>
  </si>
  <si>
    <t>HUF</t>
  </si>
  <si>
    <t>Bulgarian Pension Insuranse Company (1)</t>
  </si>
  <si>
    <t>FEDERACION RUSA</t>
  </si>
  <si>
    <t>Gazfond</t>
  </si>
  <si>
    <t>Lukoil - Garant</t>
  </si>
  <si>
    <t>Surgutneftegaz</t>
  </si>
  <si>
    <t>Blagosostoy Anie</t>
  </si>
  <si>
    <t>PF Vneshtorgbank</t>
  </si>
  <si>
    <t>Electoenergetica</t>
  </si>
  <si>
    <t>NPF Nacional</t>
  </si>
  <si>
    <t>Rostelecom - Garantia</t>
  </si>
  <si>
    <t>Telecom - Soyuz</t>
  </si>
  <si>
    <t>Regionfond</t>
  </si>
  <si>
    <t>Almaznaya Osen</t>
  </si>
  <si>
    <t>Rublos</t>
  </si>
  <si>
    <r>
      <t xml:space="preserve">Fuente / </t>
    </r>
    <r>
      <rPr>
        <b/>
        <sz val="10"/>
        <color indexed="21"/>
        <rFont val="Times New Roman"/>
        <family val="1"/>
      </rPr>
      <t xml:space="preserve">Source: </t>
    </r>
    <r>
      <rPr>
        <b/>
        <sz val="10"/>
        <rFont val="Times New Roman"/>
        <family val="1"/>
      </rPr>
      <t>Oficina Comercial de Chile en Rusia</t>
    </r>
  </si>
  <si>
    <t>TOTAL AFILIADOS</t>
  </si>
  <si>
    <t>Participación de Mercado</t>
  </si>
  <si>
    <r>
      <t xml:space="preserve">Fuente / </t>
    </r>
    <r>
      <rPr>
        <b/>
        <sz val="9"/>
        <color indexed="21"/>
        <rFont val="Times New Roman"/>
        <family val="1"/>
      </rPr>
      <t xml:space="preserve">Source: </t>
    </r>
    <r>
      <rPr>
        <b/>
        <sz val="9"/>
        <rFont val="Times New Roman"/>
        <family val="1"/>
      </rPr>
      <t>SIPEN</t>
    </r>
  </si>
  <si>
    <t>Costa Rica</t>
  </si>
  <si>
    <t>Bulgaria</t>
  </si>
  <si>
    <t>AHORRO VOLUNTARIO</t>
  </si>
  <si>
    <t>SEGURO CESANTIA</t>
  </si>
  <si>
    <t>ING Nationale-Nederlanden Polska</t>
  </si>
  <si>
    <t>Polonia</t>
  </si>
  <si>
    <t>Bco. Popular y Des. Comunal</t>
  </si>
  <si>
    <t>Pension Assurance Co. " Douverie"</t>
  </si>
  <si>
    <t>Pension Insurance Co. "Saglassie"</t>
  </si>
  <si>
    <t>Bulgarian Pension Insuranse Co.</t>
  </si>
  <si>
    <t>Saving Cooperative Pension Security Co. " Rodina"</t>
  </si>
  <si>
    <t>"Allianz" Bulgarian Pension Fund Management Co.</t>
  </si>
  <si>
    <t>ING Pension Insurance Co.</t>
  </si>
  <si>
    <r>
      <t xml:space="preserve">COTIZANTES: Cifras correspondientes al total de afiliados activos, es decir, aquellos que realizaron por lo menos una cotización en los últimos 6 meses / </t>
    </r>
    <r>
      <rPr>
        <i/>
        <sz val="9"/>
        <color indexed="21"/>
        <rFont val="Times New Roman"/>
        <family val="1"/>
      </rPr>
      <t>CONTRIBUTORS: Data correspondant to total of active affiliates, that is who make at least one contribution in the last 6 months.</t>
    </r>
  </si>
  <si>
    <r>
      <t xml:space="preserve">Tipo de Cambio al 30.06.2002: 1US$ = $ 25.000 / </t>
    </r>
    <r>
      <rPr>
        <i/>
        <sz val="9"/>
        <color indexed="21"/>
        <rFont val="Times New Roman"/>
        <family val="1"/>
      </rPr>
      <t>Exchange rate as of 06.30.2002: 1US$ = $ 25.000</t>
    </r>
  </si>
  <si>
    <r>
      <t xml:space="preserve">Tipo de Cambio al 30.06.2001: 1US$ = $ 25.000 / </t>
    </r>
    <r>
      <rPr>
        <i/>
        <sz val="9"/>
        <color indexed="21"/>
        <rFont val="Times New Roman"/>
        <family val="1"/>
      </rPr>
      <t>Exchange Rate as of 06.30.2001: 1US$ = $ 25.000</t>
    </r>
  </si>
  <si>
    <r>
      <t xml:space="preserve">NOTA: </t>
    </r>
    <r>
      <rPr>
        <sz val="9"/>
        <rFont val="Times New Roman"/>
        <family val="1"/>
      </rPr>
      <t>El 06 de febrero de 1997 se aprobó la Ley N° 8, que crea el Sistema de Ahorro y Capitalización de Pensiones de los Servidores Públicos, SIACAP. De esta forma, los ahorros obligatorios de los fondos públicos pasan a ser administrados por entidades privadas, hasta que se jubilen todos sus afiliados. / On february 06 of 1997, Law N° 8 was approved.</t>
    </r>
    <r>
      <rPr>
        <i/>
        <sz val="9"/>
        <color indexed="21"/>
        <rFont val="Times New Roman"/>
        <family val="1"/>
      </rPr>
      <t xml:space="preserve"> This Law created the System of Save and Pension Capitalization to Public Employees, SIACAP. In this way, the mandatory save of public funds are now managed by private entities, until all this affiliates have a pension.</t>
    </r>
  </si>
  <si>
    <r>
      <t xml:space="preserve">Los afiliados de las administradoras que dejaron de operar fueron distribuidos entre las cuatro restantes / </t>
    </r>
    <r>
      <rPr>
        <i/>
        <sz val="9"/>
        <color indexed="21"/>
        <rFont val="Times New Roman"/>
        <family val="1"/>
      </rPr>
      <t>Affiliates to administrators that ended its operations were distributed between the four other administrators.</t>
    </r>
  </si>
  <si>
    <r>
      <t xml:space="preserve">Los recursos de las administradoras que dejaron de operar fueron distribuidos entre las cuatro restantes  / </t>
    </r>
    <r>
      <rPr>
        <i/>
        <sz val="9"/>
        <color indexed="21"/>
        <rFont val="Times New Roman"/>
        <family val="1"/>
      </rPr>
      <t>Affiliates to administrators that ended its operations were distributed between the four other administrators.</t>
    </r>
  </si>
  <si>
    <r>
      <t xml:space="preserve">(1) Bulgarian Pension Insurance Company se encuentra en proceso de fusión / </t>
    </r>
    <r>
      <rPr>
        <i/>
        <sz val="9"/>
        <color indexed="21"/>
        <rFont val="Times New Roman"/>
        <family val="1"/>
      </rPr>
      <t>Bulgarian Pension Insurance Company is in process of merger</t>
    </r>
  </si>
  <si>
    <r>
      <t xml:space="preserve">La información presentada de España corresponde al Total de Sistemas, es decir, considera el Sistema Individual, Sistema de Empleo y Sistema Asociado. / </t>
    </r>
    <r>
      <rPr>
        <i/>
        <sz val="9"/>
        <color indexed="21"/>
        <rFont val="Times New Roman"/>
        <family val="1"/>
      </rPr>
      <t>The Spain information correspond to the Total of the Systems, considering the Individual System, Employment System and Associated System.</t>
    </r>
  </si>
  <si>
    <t>TOTAL FONDOS</t>
  </si>
  <si>
    <r>
      <t>Tipo de Cambio al 31.12.2001: 1US$ = HUF 245,26 /</t>
    </r>
    <r>
      <rPr>
        <i/>
        <sz val="9"/>
        <color indexed="21"/>
        <rFont val="Times New Roman"/>
        <family val="1"/>
      </rPr>
      <t xml:space="preserve"> Exchange Rate as of 12.31.2001: 1US$ = HUF 245,26</t>
    </r>
  </si>
  <si>
    <t>KAZAJSTAN</t>
  </si>
  <si>
    <t>NUMERO DE AFILIADOS Y COTIZANTES AL 31.12.2002</t>
  </si>
  <si>
    <t>NUMBER OF AFFILIATES AND CONTRIBUTORS AS OF 12.31.2002</t>
  </si>
  <si>
    <t>31.12.2002</t>
  </si>
  <si>
    <t>FONDOS ADMINISTRADOS AL 31.12.2002</t>
  </si>
  <si>
    <t>FUNDS MANAGED AS OF 12.31.2002</t>
  </si>
  <si>
    <t>NUMERO DE AFILIADOS Y FONDOS ADMINISTRADOS AL 31.12.2002</t>
  </si>
  <si>
    <t>NUMBER OF AFFILIATES AND FUNDS MANAGED AS OF 12.31.2002</t>
  </si>
  <si>
    <t>NUMERO DE AFILIADOS AL 31.12.2002</t>
  </si>
  <si>
    <t>NUMBER OF AFFILIATES AS OF 12.31.2002</t>
  </si>
  <si>
    <t>NUMBER OF AFFILIATES ANF FUNDS MANAGED AS OF 12.31.2002</t>
  </si>
  <si>
    <t>PATRIMONIO AL 31.12.2002</t>
  </si>
  <si>
    <t>ASSETS AS OF 12.31.2002</t>
  </si>
  <si>
    <t>Siembra</t>
  </si>
  <si>
    <r>
      <t xml:space="preserve">Tipo de Cambio al 31.12.2002: 1US$ = $3,39 / </t>
    </r>
    <r>
      <rPr>
        <i/>
        <sz val="9"/>
        <color indexed="21"/>
        <rFont val="Times New Roman"/>
        <family val="1"/>
      </rPr>
      <t>Exchange Rate as of 12.31.2002: 1US$ = $3,39</t>
    </r>
  </si>
  <si>
    <r>
      <t xml:space="preserve">Tipo de Cambio al 31.12.2001: 1US$ = $1,0 / </t>
    </r>
    <r>
      <rPr>
        <i/>
        <sz val="9"/>
        <color indexed="21"/>
        <rFont val="Times New Roman"/>
        <family val="1"/>
      </rPr>
      <t>Exchange Rate as of 12.31.2001: 1US$ = $1,0</t>
    </r>
  </si>
  <si>
    <t>AHORRO VOLUNTARIO (*)</t>
  </si>
  <si>
    <t>(*) Incluye depósitos convenidos e imposiciones voluntarias.</t>
  </si>
  <si>
    <r>
      <t xml:space="preserve">Tipo de Cambio al 31.12.2002: 1US$ = 7,48 bolivianos / </t>
    </r>
    <r>
      <rPr>
        <i/>
        <sz val="9"/>
        <color indexed="21"/>
        <rFont val="Times New Roman"/>
        <family val="1"/>
      </rPr>
      <t>Exchange rate as of 12.31.2002: 1US$ = $7,48 bolivianos</t>
    </r>
  </si>
  <si>
    <r>
      <t xml:space="preserve">Tipo de Cambio al 31.12.2001: 1US$ = 6,81 bolivianos / </t>
    </r>
    <r>
      <rPr>
        <i/>
        <sz val="9"/>
        <color indexed="21"/>
        <rFont val="Times New Roman"/>
        <family val="1"/>
      </rPr>
      <t>Exchange Rate as of 12.31.2001: 1US$ = 6,81 bolivianos</t>
    </r>
  </si>
  <si>
    <r>
      <t xml:space="preserve">Tipo de Cambio al 31.12.2001 : 1US$ = R$ 2,33 / </t>
    </r>
    <r>
      <rPr>
        <i/>
        <sz val="9"/>
        <color indexed="21"/>
        <rFont val="Times New Roman"/>
        <family val="1"/>
      </rPr>
      <t>Exchange Rate as of 12.31.2001: 1US$ = R$ 2,33</t>
    </r>
  </si>
  <si>
    <r>
      <t xml:space="preserve">Tipo de Cambio al 31.12.2002 : 1US$ = R$ 3,535 / </t>
    </r>
    <r>
      <rPr>
        <i/>
        <sz val="9"/>
        <color indexed="21"/>
        <rFont val="Times New Roman"/>
        <family val="1"/>
      </rPr>
      <t>Exchange Rate as of 12.31.2002: 1US$ = R$ 3,535</t>
    </r>
  </si>
  <si>
    <r>
      <t xml:space="preserve">NOTA: </t>
    </r>
    <r>
      <rPr>
        <sz val="9"/>
        <rFont val="Times New Roman"/>
        <family val="1"/>
      </rPr>
      <t>Los fondos administrados al 31.12.2002 corresponden al total de fondos invertidos a esa fecha.</t>
    </r>
  </si>
  <si>
    <r>
      <t xml:space="preserve">NOTE: </t>
    </r>
    <r>
      <rPr>
        <i/>
        <sz val="9"/>
        <color indexed="21"/>
        <rFont val="Times New Roman"/>
        <family val="1"/>
      </rPr>
      <t>The funds managed as of 12.31.2002 correspond to the total of funds invested at this date.</t>
    </r>
  </si>
  <si>
    <r>
      <t xml:space="preserve">Tipo de Cambio al 31.12.2001: 1US$ = $ 2.291,18 / </t>
    </r>
    <r>
      <rPr>
        <i/>
        <sz val="9"/>
        <color indexed="21"/>
        <rFont val="Times New Roman"/>
        <family val="1"/>
      </rPr>
      <t>Exchange Rate as of 12.31.2001: 1US$ = $2.291,18</t>
    </r>
  </si>
  <si>
    <t>Banco de Costa Rica</t>
  </si>
  <si>
    <r>
      <t xml:space="preserve">Tipo de Cambio al 31.12.2001: 1US$ = 341,40 colones / </t>
    </r>
    <r>
      <rPr>
        <i/>
        <sz val="9"/>
        <color indexed="21"/>
        <rFont val="Times New Roman"/>
        <family val="1"/>
      </rPr>
      <t>Exchange Rate as of 12.31.2001: 1US$ = 341,40 colones</t>
    </r>
  </si>
  <si>
    <r>
      <t xml:space="preserve">Tipo de Cambio al 31.12.2002: 1US$ = 378,39 colones / </t>
    </r>
    <r>
      <rPr>
        <i/>
        <sz val="9"/>
        <color indexed="21"/>
        <rFont val="Times New Roman"/>
        <family val="1"/>
      </rPr>
      <t>Exchange rate as of 12.31.2002: 1US$ = 378,39 colones</t>
    </r>
  </si>
  <si>
    <t>Fondo A</t>
  </si>
  <si>
    <t>Fondo B</t>
  </si>
  <si>
    <t>Fondo C</t>
  </si>
  <si>
    <t>Fondo D</t>
  </si>
  <si>
    <t>Fondo E</t>
  </si>
  <si>
    <t>Total</t>
  </si>
  <si>
    <t>Miles US$</t>
  </si>
  <si>
    <r>
      <t xml:space="preserve">Tipo de Cambio al 31.12.2002: 1US$ = $ 2.864,79 / </t>
    </r>
    <r>
      <rPr>
        <i/>
        <sz val="9"/>
        <color indexed="21"/>
        <rFont val="Times New Roman"/>
        <family val="1"/>
      </rPr>
      <t>Exchange Rate as of 12.31.2002: 1US$ = $ 2.859,5</t>
    </r>
  </si>
  <si>
    <t>Jun. 2001</t>
  </si>
  <si>
    <t>Dic. 2001</t>
  </si>
  <si>
    <t>Dic. 2002</t>
  </si>
  <si>
    <r>
      <t xml:space="preserve">Tipo de Cambio al 31.12.2002: 1US$ = $ 712,38 / </t>
    </r>
    <r>
      <rPr>
        <i/>
        <sz val="9"/>
        <color indexed="21"/>
        <rFont val="Times New Roman"/>
        <family val="1"/>
      </rPr>
      <t>Exchange Rate as of 12.31.2002: 1US$ = $ 712,38</t>
    </r>
  </si>
  <si>
    <r>
      <t xml:space="preserve">Tipo de Cambio al 31.12.2002: 1US$ = 8,75 colones / </t>
    </r>
    <r>
      <rPr>
        <i/>
        <sz val="9"/>
        <color indexed="21"/>
        <rFont val="Times New Roman"/>
        <family val="1"/>
      </rPr>
      <t>Exchange Rate as of 12.31.2002: 1US$ = 8,75 colones</t>
    </r>
  </si>
  <si>
    <r>
      <t xml:space="preserve">Tipo de Cambio al 31.12.2001: 1US$ = 8,75 colones / </t>
    </r>
    <r>
      <rPr>
        <i/>
        <sz val="9"/>
        <color indexed="21"/>
        <rFont val="Times New Roman"/>
        <family val="1"/>
      </rPr>
      <t>Exchange Rate as of 12.31.2001: 1US$ = 8,75 colones</t>
    </r>
  </si>
  <si>
    <t>Allianz Dresdner</t>
  </si>
  <si>
    <t>Banamex (1)</t>
  </si>
  <si>
    <r>
      <t xml:space="preserve">(1) En Mayo  de 2002,  Afore Garante se fusiona con Afore Banamex. Las cifras a diciembre de 2001 y la variación porcentual reflejan esta modificación / </t>
    </r>
    <r>
      <rPr>
        <i/>
        <sz val="9"/>
        <color indexed="21"/>
        <rFont val="Times New Roman"/>
        <family val="1"/>
      </rPr>
      <t xml:space="preserve">On May 2002, Afore Garante merges with Afore Banamex. Data as of December 2001 and the percentual variation reflects this modification. </t>
    </r>
  </si>
  <si>
    <t>ING</t>
  </si>
  <si>
    <t>Principal (2)</t>
  </si>
  <si>
    <r>
      <t xml:space="preserve">(2) En Agosto de 2002,  Afore Zurich se fusiona con Afore Principal. Las cifras a diciembre de 2001 y la variación porcentual reflejan esta modificación / </t>
    </r>
    <r>
      <rPr>
        <i/>
        <sz val="9"/>
        <color indexed="21"/>
        <rFont val="Times New Roman"/>
        <family val="1"/>
      </rPr>
      <t>On August 2002, Afore Zurich merges with Afore Principal. Data as of December 2001 and the percentual variation reflects this modification.</t>
    </r>
  </si>
  <si>
    <r>
      <t xml:space="preserve">Tipo de Cambio al 31.12.2002 : 1US$ = $ 10,24 / </t>
    </r>
    <r>
      <rPr>
        <i/>
        <sz val="9"/>
        <color indexed="21"/>
        <rFont val="Times New Roman"/>
        <family val="1"/>
      </rPr>
      <t>Exchange rate as of 12.31.2002: 1US$ = $ 10,24</t>
    </r>
  </si>
  <si>
    <r>
      <t>Tipo de Cambio al 31.12.2001 : 1US$ = $ 9,16 /</t>
    </r>
    <r>
      <rPr>
        <i/>
        <sz val="9"/>
        <color indexed="21"/>
        <rFont val="Times New Roman"/>
        <family val="1"/>
      </rPr>
      <t xml:space="preserve"> Exchange rate as of 12.31.2001: 1US$ = $ 9,16</t>
    </r>
  </si>
  <si>
    <t>Progreso</t>
  </si>
  <si>
    <r>
      <t xml:space="preserve">Tipo de Cambio al 31.12.2002: 1US$ = 3,514 Nuevos Soles / </t>
    </r>
    <r>
      <rPr>
        <i/>
        <sz val="9"/>
        <color indexed="21"/>
        <rFont val="Times New Roman"/>
        <family val="1"/>
      </rPr>
      <t>Exchange Rate as of 12.31.2002: 1US$ = 3,514 Nuevos Soles</t>
    </r>
  </si>
  <si>
    <r>
      <t xml:space="preserve">Tipo de Cambio al 31.12.2001: 1US$ = 3,442 Nuevos Soles / </t>
    </r>
    <r>
      <rPr>
        <i/>
        <sz val="9"/>
        <color indexed="21"/>
        <rFont val="Times New Roman"/>
        <family val="1"/>
      </rPr>
      <t>Exchange Rate as of 12.31.2001: 1US$ = 3,442 Nuevos Soles</t>
    </r>
  </si>
  <si>
    <r>
      <t>NOTA:</t>
    </r>
    <r>
      <rPr>
        <sz val="9"/>
        <rFont val="Times New Roman"/>
        <family val="1"/>
      </rPr>
      <t xml:space="preserve"> En mayo de 2001, se promulgó la Ley N° 87 - 01 de Seguridad Social que establece el régimen de Capitalización Individual Obligatorio, el cual inició el proceso de afiliación en febrero de 2003 / </t>
    </r>
    <r>
      <rPr>
        <i/>
        <sz val="9"/>
        <color indexed="21"/>
        <rFont val="Times New Roman"/>
        <family val="1"/>
      </rPr>
      <t>On May 2001, was approved the Law N° 87 - 01 of Social Security, establishing the Individual Captalization Mandatory regime, that started affiliations on february 2003.</t>
    </r>
  </si>
  <si>
    <t>30.09.2002</t>
  </si>
  <si>
    <r>
      <t xml:space="preserve">Tipo de Cambio al 31.12.2001: 1US$ = RD$ 16,66 / </t>
    </r>
    <r>
      <rPr>
        <i/>
        <sz val="9"/>
        <color indexed="21"/>
        <rFont val="Times New Roman"/>
        <family val="1"/>
      </rPr>
      <t>Exchange Rate as of 12.31.2001: 1US$ = RD$ 16,66</t>
    </r>
  </si>
  <si>
    <r>
      <t xml:space="preserve">Tipo de Cambio al 30.09.2002: 1US$ = RD$ 18,34 / </t>
    </r>
    <r>
      <rPr>
        <i/>
        <sz val="9"/>
        <color indexed="21"/>
        <rFont val="Times New Roman"/>
        <family val="1"/>
      </rPr>
      <t>Exchange Rate as of 09.30.2002: 1US$ = RD$ 18,34</t>
    </r>
  </si>
  <si>
    <t>Afinidad</t>
  </si>
  <si>
    <t>UniónCapital</t>
  </si>
  <si>
    <r>
      <t xml:space="preserve">Tipo de Cambio al 31.12.2002: 1US$ = $ 27,20 / </t>
    </r>
    <r>
      <rPr>
        <i/>
        <sz val="9"/>
        <color indexed="21"/>
        <rFont val="Times New Roman"/>
        <family val="1"/>
      </rPr>
      <t>Exchange Rate as of 12.31.2002: 1US$ = $ 27,20</t>
    </r>
  </si>
  <si>
    <r>
      <t xml:space="preserve">Tipo de Cambio al 31.12.2001: 1US$ = $ 14,76 / </t>
    </r>
    <r>
      <rPr>
        <i/>
        <sz val="9"/>
        <color indexed="21"/>
        <rFont val="Times New Roman"/>
        <family val="1"/>
      </rPr>
      <t>Exchange Rate as of 12.31.2001: 1US$ = $ 14,76</t>
    </r>
  </si>
  <si>
    <t>Universales</t>
  </si>
  <si>
    <t>(US$)</t>
  </si>
  <si>
    <r>
      <t xml:space="preserve">Tipo de Cambio al 31.12.2001: 1US$ = $ 654,79 / </t>
    </r>
    <r>
      <rPr>
        <i/>
        <sz val="9"/>
        <color indexed="21"/>
        <rFont val="Times New Roman"/>
        <family val="1"/>
      </rPr>
      <t>Exchange Rate as of 12.31.2001: 1US$ = $ 654,79</t>
    </r>
  </si>
  <si>
    <r>
      <t xml:space="preserve">(*) Todas las cifras en dólares al 31 de diciembre de 2001 indicadas, corresponden al valor en pesos a esa fecha actualizado por la variación de la U.F. entre el 31 de diciembre de 2001 y el 31 de diciembre de 2002 y dividido posteriormente por el valor del dólar al 31 de diciembre de 2002 / </t>
    </r>
    <r>
      <rPr>
        <i/>
        <sz val="9"/>
        <color indexed="21"/>
        <rFont val="Times New Roman"/>
        <family val="1"/>
      </rPr>
      <t>All ciphers in dollars as of december 31, 2001 indicates, correspond to the value in pesos brings up to date by U.F. variation between december 31, 2001 and december 31, 2002 and divides by the dollar value as of december 31, 2002.</t>
    </r>
  </si>
  <si>
    <r>
      <t xml:space="preserve">El valor nominal del fondo administrado al 31.12.2001 es MM US$ 35.461 / </t>
    </r>
    <r>
      <rPr>
        <b/>
        <i/>
        <sz val="9"/>
        <color indexed="21"/>
        <rFont val="Times New Roman"/>
        <family val="1"/>
      </rPr>
      <t>Nominal value of managed fund as of december 31, 2001 is MM US$ 35.461</t>
    </r>
  </si>
  <si>
    <r>
      <t>Tipo de Cambio al 31.12.2002: 1US$ = 0,9604 Euros /</t>
    </r>
    <r>
      <rPr>
        <i/>
        <sz val="9"/>
        <color indexed="21"/>
        <rFont val="Times New Roman"/>
        <family val="1"/>
      </rPr>
      <t xml:space="preserve"> Exchange Rate as of 12.31.2002: 1US$ = 0,9604 Euros</t>
    </r>
  </si>
  <si>
    <r>
      <t>Tipo de Cambio al 31.12.2001: 1US$ = 1,1321 Euros /</t>
    </r>
    <r>
      <rPr>
        <i/>
        <sz val="9"/>
        <color indexed="21"/>
        <rFont val="Times New Roman"/>
        <family val="1"/>
      </rPr>
      <t xml:space="preserve"> Exchange Rate as of 12.31.2001: 1US$ = 1,1321 Euros</t>
    </r>
  </si>
  <si>
    <t>República Dominicana (1)</t>
  </si>
  <si>
    <t>Brasil (2)</t>
  </si>
  <si>
    <t>Kazajstán</t>
  </si>
  <si>
    <t>Refer</t>
  </si>
  <si>
    <t>NUMERO DE PARTICIPANTES AL 31.12.2002</t>
  </si>
  <si>
    <t>NUMBER OF PARTICIPANTS AS OF 12.31.2002</t>
  </si>
  <si>
    <t>Brasil</t>
  </si>
  <si>
    <t>Fondos BG/Jubilación (1)</t>
  </si>
  <si>
    <r>
      <t xml:space="preserve">Fondos BG/Jubilación </t>
    </r>
    <r>
      <rPr>
        <sz val="8"/>
        <rFont val="Times New Roman"/>
        <family val="1"/>
      </rPr>
      <t xml:space="preserve">(US$) </t>
    </r>
    <r>
      <rPr>
        <sz val="11"/>
        <rFont val="Times New Roman"/>
        <family val="1"/>
      </rPr>
      <t>(1)</t>
    </r>
  </si>
  <si>
    <t>Millones</t>
  </si>
  <si>
    <r>
      <t>Tipo de Cambio al 30.09.2002: 1US$ = HUF 247,36 /</t>
    </r>
    <r>
      <rPr>
        <i/>
        <sz val="9"/>
        <color indexed="21"/>
        <rFont val="Times New Roman"/>
        <family val="1"/>
      </rPr>
      <t xml:space="preserve"> Exchange Rate as of 09.30.2002: 1US$ = HUF 247,36</t>
    </r>
  </si>
  <si>
    <t>Credit Suisse Life &amp; Pensions</t>
  </si>
  <si>
    <t>Kredyt Banku</t>
  </si>
  <si>
    <t>PZU Zota Jesien</t>
  </si>
  <si>
    <t>Sampo</t>
  </si>
  <si>
    <t>NUMERO DE AFILIADOS AL 30.09.2002</t>
  </si>
  <si>
    <t>NUMBER OF AFFILIATES AS OF 09.30.2002</t>
  </si>
  <si>
    <t>Ergo Hestia (PBK Orzel)</t>
  </si>
  <si>
    <t>Pekao</t>
  </si>
  <si>
    <t>ACTIVOS AL 30.09.2002</t>
  </si>
  <si>
    <t>ASSETS AS OF 09.30.2002</t>
  </si>
  <si>
    <r>
      <t xml:space="preserve">Tipo de Cambio al 30.09.2002 : 1US$ = 4 PLN / </t>
    </r>
    <r>
      <rPr>
        <i/>
        <sz val="9"/>
        <color indexed="21"/>
        <rFont val="Times New Roman"/>
        <family val="1"/>
      </rPr>
      <t>Exchange rate as of 09.30.2002: 1US$ = 4 PLN</t>
    </r>
  </si>
  <si>
    <r>
      <t xml:space="preserve">Tipo de Cambio al 31.12.2001 : 1US$ = 4 PLN / </t>
    </r>
    <r>
      <rPr>
        <i/>
        <sz val="9"/>
        <color indexed="21"/>
        <rFont val="Times New Roman"/>
        <family val="1"/>
      </rPr>
      <t>Exchange rate as of 12.31.2001: 1US$ = 4 PLN</t>
    </r>
  </si>
  <si>
    <t>Hungría (3)</t>
  </si>
  <si>
    <r>
      <t xml:space="preserve">(3) Hungría: afiliados al 30.09.2002 y 31.12.2001 / </t>
    </r>
    <r>
      <rPr>
        <i/>
        <sz val="9"/>
        <color indexed="21"/>
        <rFont val="Times New Roman"/>
        <family val="1"/>
      </rPr>
      <t>Hungary: affiliates as of 09.30.2002 and 12.31.2001</t>
    </r>
  </si>
  <si>
    <t>Hungría (2)</t>
  </si>
  <si>
    <r>
      <t>(2) Hungría: fondos obligatorios y voluntarios administrados al 30.09.2002 y 31.12.2001 /</t>
    </r>
    <r>
      <rPr>
        <i/>
        <sz val="9"/>
        <color indexed="21"/>
        <rFont val="Times New Roman"/>
        <family val="1"/>
      </rPr>
      <t xml:space="preserve"> Hungary: mandatory and voluntary funds managed as of 09.30.2002 and 12.31.2001.</t>
    </r>
  </si>
  <si>
    <t>(*) Total FIAP al 31.12.2002 incorpora / As of 06.30.2002, total FIAP include: Argentina, Bolivia, Brasil, Bulgaria, Colombia, Costa Rica, Chile, Ecuador, El Salvador, España, Federación Rusa, Guatemala, Honduras, Kazajstán, México, Panamá, Perú, Polonia, República Dominicana, Ucrania, Uruguay y Venezuela.</t>
  </si>
  <si>
    <r>
      <t xml:space="preserve">Tipo de Cambio 31.12.2002: 1US$ = 32,238 Rublos / </t>
    </r>
    <r>
      <rPr>
        <i/>
        <sz val="9"/>
        <color indexed="21"/>
        <rFont val="Times New Roman"/>
        <family val="1"/>
      </rPr>
      <t>Exchange rate as of 12.31.2002: 1US$ = 32,238 Rublos</t>
    </r>
  </si>
  <si>
    <t>Federación Rusa</t>
  </si>
  <si>
    <t>SEGURO CESANTIA (*)</t>
  </si>
  <si>
    <t>(*) Los fondos de cesantía están considerado en la cuenta de retiro, cesantía en edad avanzada y vejez (ahorro obligatorio).</t>
  </si>
  <si>
    <r>
      <t xml:space="preserve">(*) Ranking de administradoras según tamaño del fondo administrado / </t>
    </r>
    <r>
      <rPr>
        <i/>
        <sz val="9"/>
        <color indexed="21"/>
        <rFont val="Times New Roman"/>
        <family val="1"/>
      </rPr>
      <t>Ranking of administrators according to the size of the managed fund.</t>
    </r>
  </si>
  <si>
    <t>xxxxxxxxxxxxxxxxxx</t>
  </si>
  <si>
    <t>NUMERO DE COTIZANTES AL 30.06.2002</t>
  </si>
  <si>
    <t>NUMBER OF CONTRIBUTORS AS OF 06.30.2002</t>
  </si>
  <si>
    <t>COMPOSICION DE LA CARTERA AL 31.12.2002</t>
  </si>
  <si>
    <t>PORTFOLIO COMPOSITION AS OF 12.31.2002</t>
  </si>
  <si>
    <t xml:space="preserve">Miles US$ </t>
  </si>
  <si>
    <t>US$ Thousand</t>
  </si>
  <si>
    <t xml:space="preserve">                              Statistical Bulletin of AFJP Superintendence January 2002/2001.</t>
  </si>
  <si>
    <t>Sector Estatal</t>
  </si>
  <si>
    <t>Sector Empresas</t>
  </si>
  <si>
    <t>Sector Financiero</t>
  </si>
  <si>
    <t>Sector Extranjero</t>
  </si>
  <si>
    <t>Activos Disponibles</t>
  </si>
  <si>
    <r>
      <t xml:space="preserve">Sector Estatal / </t>
    </r>
    <r>
      <rPr>
        <b/>
        <i/>
        <sz val="11"/>
        <color indexed="21"/>
        <rFont val="Times New Roman"/>
        <family val="1"/>
      </rPr>
      <t>State Sector</t>
    </r>
  </si>
  <si>
    <r>
      <t xml:space="preserve">Títulos Públicos Nacionales / </t>
    </r>
    <r>
      <rPr>
        <i/>
        <sz val="8"/>
        <color indexed="21"/>
        <rFont val="Times New Roman"/>
        <family val="1"/>
      </rPr>
      <t>National Public Notes</t>
    </r>
  </si>
  <si>
    <r>
      <t xml:space="preserve">Títulos emitidos por Entes Estatales / </t>
    </r>
    <r>
      <rPr>
        <i/>
        <sz val="8"/>
        <color indexed="21"/>
        <rFont val="Times New Roman"/>
        <family val="1"/>
      </rPr>
      <t>Notes Issued by State Entities</t>
    </r>
  </si>
  <si>
    <r>
      <t xml:space="preserve">Economías Regionales / </t>
    </r>
    <r>
      <rPr>
        <i/>
        <sz val="8"/>
        <color indexed="21"/>
        <rFont val="Times New Roman"/>
        <family val="1"/>
      </rPr>
      <t>Regional Economies</t>
    </r>
  </si>
  <si>
    <r>
      <t xml:space="preserve">Sector Empresas / </t>
    </r>
    <r>
      <rPr>
        <b/>
        <i/>
        <sz val="11"/>
        <color indexed="21"/>
        <rFont val="Times New Roman"/>
        <family val="1"/>
      </rPr>
      <t>Corporate Sector</t>
    </r>
  </si>
  <si>
    <r>
      <t xml:space="preserve">Obligaciones Negociable de LP / </t>
    </r>
    <r>
      <rPr>
        <i/>
        <sz val="8"/>
        <color indexed="21"/>
        <rFont val="Times New Roman"/>
        <family val="1"/>
      </rPr>
      <t>LT Negotiable Debt</t>
    </r>
  </si>
  <si>
    <r>
      <t xml:space="preserve">Obligaciones Negociable de CP / </t>
    </r>
    <r>
      <rPr>
        <i/>
        <sz val="8"/>
        <color indexed="21"/>
        <rFont val="Times New Roman"/>
        <family val="1"/>
      </rPr>
      <t>ST Negotiable Debt</t>
    </r>
  </si>
  <si>
    <r>
      <t xml:space="preserve">Acciones de Soc. Anónimas / </t>
    </r>
    <r>
      <rPr>
        <i/>
        <sz val="8"/>
        <color indexed="21"/>
        <rFont val="Times New Roman"/>
        <family val="1"/>
      </rPr>
      <t>Stock Company Shares</t>
    </r>
  </si>
  <si>
    <r>
      <t xml:space="preserve">Acciones de Empresas Privatizadas / </t>
    </r>
    <r>
      <rPr>
        <i/>
        <sz val="8"/>
        <color indexed="21"/>
        <rFont val="Times New Roman"/>
        <family val="1"/>
      </rPr>
      <t>Privatized Company Shares</t>
    </r>
  </si>
  <si>
    <r>
      <t xml:space="preserve">Sector Financiero / </t>
    </r>
    <r>
      <rPr>
        <b/>
        <i/>
        <sz val="11"/>
        <color indexed="21"/>
        <rFont val="Times New Roman"/>
        <family val="1"/>
      </rPr>
      <t>Financial Sector</t>
    </r>
  </si>
  <si>
    <r>
      <t xml:space="preserve">Plazo Fijo / </t>
    </r>
    <r>
      <rPr>
        <i/>
        <sz val="8"/>
        <color indexed="21"/>
        <rFont val="Times New Roman"/>
        <family val="1"/>
      </rPr>
      <t>Fixed Terms</t>
    </r>
  </si>
  <si>
    <r>
      <t xml:space="preserve">Fondos Comunes de Inv. / </t>
    </r>
    <r>
      <rPr>
        <i/>
        <sz val="8"/>
        <color indexed="21"/>
        <rFont val="Times New Roman"/>
        <family val="1"/>
      </rPr>
      <t>Common Inv. Funds</t>
    </r>
  </si>
  <si>
    <r>
      <t xml:space="preserve">Contratos Neg. de Futuros y Opciones / </t>
    </r>
    <r>
      <rPr>
        <i/>
        <sz val="8"/>
        <color indexed="21"/>
        <rFont val="Times New Roman"/>
        <family val="1"/>
      </rPr>
      <t>Direct Investment Certif.</t>
    </r>
  </si>
  <si>
    <r>
      <t>Céd. y Letras Hipotecarias /</t>
    </r>
    <r>
      <rPr>
        <i/>
        <sz val="8"/>
        <color indexed="21"/>
        <rFont val="Times New Roman"/>
        <family val="1"/>
      </rPr>
      <t xml:space="preserve"> Mortgage Titles and Notes</t>
    </r>
  </si>
  <si>
    <r>
      <t xml:space="preserve">Fondos de Inversión Directa / </t>
    </r>
    <r>
      <rPr>
        <i/>
        <sz val="8"/>
        <color indexed="21"/>
        <rFont val="Times New Roman"/>
        <family val="1"/>
      </rPr>
      <t>Direct Investment Funds</t>
    </r>
  </si>
  <si>
    <r>
      <t xml:space="preserve">Fideicomisos Financieros / </t>
    </r>
    <r>
      <rPr>
        <i/>
        <sz val="8"/>
        <color indexed="21"/>
        <rFont val="Times New Roman"/>
        <family val="1"/>
      </rPr>
      <t>Financial Trusteeship</t>
    </r>
  </si>
  <si>
    <r>
      <t xml:space="preserve">Total Inv. en trámite irregular neto de previsiones /  </t>
    </r>
    <r>
      <rPr>
        <i/>
        <sz val="8"/>
        <color indexed="21"/>
        <rFont val="Times New Roman"/>
        <family val="1"/>
      </rPr>
      <t>Total investments in irregular procedure net of prevision</t>
    </r>
  </si>
  <si>
    <r>
      <t xml:space="preserve">Sector Extranjero / </t>
    </r>
    <r>
      <rPr>
        <b/>
        <i/>
        <sz val="11"/>
        <color indexed="21"/>
        <rFont val="Times New Roman"/>
        <family val="1"/>
      </rPr>
      <t>Foreign Sector</t>
    </r>
  </si>
  <si>
    <r>
      <t xml:space="preserve">Títulos emitidos por Estados Ext. / </t>
    </r>
    <r>
      <rPr>
        <i/>
        <sz val="8"/>
        <color indexed="21"/>
        <rFont val="Times New Roman"/>
        <family val="1"/>
      </rPr>
      <t>Notes issued by Foreign States</t>
    </r>
  </si>
  <si>
    <r>
      <t xml:space="preserve">Títulos emitidos por Soc. Ext. / </t>
    </r>
    <r>
      <rPr>
        <i/>
        <sz val="8"/>
        <color indexed="21"/>
        <rFont val="Times New Roman"/>
        <family val="1"/>
      </rPr>
      <t>Notes issued by Foreign Companies</t>
    </r>
  </si>
  <si>
    <r>
      <t xml:space="preserve">Total Inversiones / </t>
    </r>
    <r>
      <rPr>
        <b/>
        <i/>
        <sz val="11"/>
        <color indexed="21"/>
        <rFont val="Times New Roman"/>
        <family val="1"/>
      </rPr>
      <t>Total Investment</t>
    </r>
  </si>
  <si>
    <r>
      <t xml:space="preserve">Activos Disponibles / </t>
    </r>
    <r>
      <rPr>
        <b/>
        <i/>
        <sz val="11"/>
        <color indexed="21"/>
        <rFont val="Times New Roman"/>
        <family val="1"/>
      </rPr>
      <t>Liquid Assets</t>
    </r>
  </si>
  <si>
    <r>
      <t xml:space="preserve">Fuente / </t>
    </r>
    <r>
      <rPr>
        <b/>
        <sz val="9"/>
        <color indexed="21"/>
        <rFont val="Times New Roman"/>
        <family val="1"/>
      </rPr>
      <t xml:space="preserve">Source: </t>
    </r>
    <r>
      <rPr>
        <b/>
        <sz val="9"/>
        <rFont val="Times New Roman"/>
        <family val="1"/>
      </rPr>
      <t>Boletín Estadístico Mensual Superintendencia de AFJP Enero 2002 / 2001.</t>
    </r>
  </si>
  <si>
    <t>31.12.99</t>
  </si>
  <si>
    <t>Acciones</t>
  </si>
  <si>
    <t>Inmobiliarias</t>
  </si>
  <si>
    <t>Depósitos a Plazo</t>
  </si>
  <si>
    <t>Fondos de Inversión RF</t>
  </si>
  <si>
    <t>Fondos de Inversión RV</t>
  </si>
  <si>
    <t>Prestamos a Participantes</t>
  </si>
  <si>
    <t>Financiamiento Inmobiliário</t>
  </si>
  <si>
    <t>Operaciones con Patrocinadoras</t>
  </si>
  <si>
    <t>Renta Fija Públicos</t>
  </si>
  <si>
    <t>Renta Fija Privados</t>
  </si>
  <si>
    <t>Renta Variable</t>
  </si>
  <si>
    <t>Participación Accionaria</t>
  </si>
  <si>
    <t>R$ millones</t>
  </si>
  <si>
    <t>US$ millones</t>
  </si>
  <si>
    <t>Miles de R$</t>
  </si>
  <si>
    <t>Fondos PGBL</t>
  </si>
  <si>
    <t>Millones de $</t>
  </si>
  <si>
    <t>Millones de US$</t>
  </si>
  <si>
    <t>Futuro</t>
  </si>
  <si>
    <t>Previsión</t>
  </si>
  <si>
    <t>31.12.00</t>
  </si>
  <si>
    <t>Bonos</t>
  </si>
  <si>
    <t>31.12.98</t>
  </si>
  <si>
    <t>Forwards</t>
  </si>
  <si>
    <t>Cetes</t>
  </si>
  <si>
    <t>Bondes</t>
  </si>
  <si>
    <t>Udibonos</t>
  </si>
  <si>
    <t>PIC's</t>
  </si>
  <si>
    <t>Otros Activos</t>
  </si>
  <si>
    <t>NUMBER OF SALESMEN</t>
  </si>
  <si>
    <t>NUMBER OF ANNUAL SWITCHOVERS</t>
  </si>
  <si>
    <t>Cartera Interior</t>
  </si>
  <si>
    <t>Cartera Exterior</t>
  </si>
  <si>
    <t>Tesorería</t>
  </si>
  <si>
    <t>30.06.2000</t>
  </si>
  <si>
    <t>Bono IPAB</t>
  </si>
  <si>
    <t>Bono 3 años</t>
  </si>
  <si>
    <t>Bono 5 años</t>
  </si>
  <si>
    <t xml:space="preserve">NUMERO DE VENDEDORES </t>
  </si>
  <si>
    <t>NUMERO DE TRASPASOS ANUALES</t>
  </si>
  <si>
    <t>BREMS</t>
  </si>
  <si>
    <t>BANOBRA</t>
  </si>
  <si>
    <r>
      <t xml:space="preserve">Fuente / </t>
    </r>
    <r>
      <rPr>
        <b/>
        <sz val="9"/>
        <color indexed="21"/>
        <rFont val="Times New Roman"/>
        <family val="1"/>
      </rPr>
      <t xml:space="preserve">Source: </t>
    </r>
    <r>
      <rPr>
        <b/>
        <sz val="9"/>
        <rFont val="Times New Roman"/>
        <family val="1"/>
      </rPr>
      <t>Boletín Estadístico Mensual Superintendencia de AFJP Diciembre 2002</t>
    </r>
  </si>
  <si>
    <t xml:space="preserve">                              Statistical Bulletin of AFJP Superintendence December 2002</t>
  </si>
  <si>
    <r>
      <t xml:space="preserve">(1) Información de Fondos BG al 30.06.2002 y 31.12.2001 / </t>
    </r>
    <r>
      <rPr>
        <i/>
        <sz val="9"/>
        <color indexed="21"/>
        <rFont val="Times New Roman"/>
        <family val="1"/>
      </rPr>
      <t>Information of Fondos BG to 06.30.2002 and 12.31.2001</t>
    </r>
  </si>
  <si>
    <r>
      <t>NOTA</t>
    </r>
    <r>
      <rPr>
        <sz val="9"/>
        <rFont val="Times New Roman"/>
        <family val="1"/>
      </rPr>
      <t xml:space="preserve">: Las cifras corresponden a Fondos de Pensiones Voluntarios. En Noviembre de 2001, se aprobó la Ley de Seguridad Social que incorpora el régimen de Capitalización Individual Obligatorio, pero este aún no se encuentra operando / </t>
    </r>
    <r>
      <rPr>
        <i/>
        <sz val="9"/>
        <color indexed="21"/>
        <rFont val="Times New Roman"/>
        <family val="1"/>
      </rPr>
      <t>Cipher correspond to Voluntary Pension Funds. On November 2001, was approved the Social Security Law, incorporating the Individual Captalization Mandatory regime, but this regime is not operating yet.</t>
    </r>
  </si>
  <si>
    <r>
      <t xml:space="preserve">NOTA: </t>
    </r>
    <r>
      <rPr>
        <sz val="9"/>
        <rFont val="Times New Roman"/>
        <family val="1"/>
      </rPr>
      <t xml:space="preserve">Las cifras corresponden a Fondos de Pensiones Voluntarios. En Noviembre de 2001, se aprobó la Ley de Seguridad Social que incorpora el régimen de Capitalización Individual Obligatorio, pero este aún no se encuentra operando / </t>
    </r>
    <r>
      <rPr>
        <i/>
        <sz val="9"/>
        <color indexed="21"/>
        <rFont val="Times New Roman"/>
        <family val="1"/>
      </rPr>
      <t>Cipher correspond to Voluntary Pension Funds. On November 2001, was approved the Social Security Law, incorporating the Individual Captalization Mandatory regime, but this regime is not operating yet.</t>
    </r>
  </si>
  <si>
    <t>FONDOS ADMINISTRADOS AL 30.09.2002</t>
  </si>
  <si>
    <t>FUNDS MANAGED AS OF 09.30.2002</t>
  </si>
  <si>
    <r>
      <t xml:space="preserve">(1) República Dominicana: afiliados al 30.09.2002 y 31.12.2001 / </t>
    </r>
    <r>
      <rPr>
        <i/>
        <sz val="9"/>
        <color indexed="21"/>
        <rFont val="Times New Roman"/>
        <family val="1"/>
      </rPr>
      <t>Dominican Republic: affiliates as of 09.30.2002 and 12.31.2001</t>
    </r>
  </si>
  <si>
    <r>
      <t xml:space="preserve">(2) Brasil: afiliados Abrapp al 31.12.2002 y 31.12.2001, afiliados Anapp al 30.06.2002 y 31.12.2001 / </t>
    </r>
    <r>
      <rPr>
        <i/>
        <sz val="9"/>
        <color indexed="21"/>
        <rFont val="Times New Roman"/>
        <family val="1"/>
      </rPr>
      <t>Brazil: affiliates as of 12.31.2002 and 12.31.2001, affiliates Anapp as of 06.30.2002 and 12.31.2001</t>
    </r>
  </si>
  <si>
    <r>
      <t xml:space="preserve">(*) Total FIAP al 31.12.2002 incorpora / </t>
    </r>
    <r>
      <rPr>
        <i/>
        <sz val="9"/>
        <color indexed="21"/>
        <rFont val="Times New Roman"/>
        <family val="1"/>
      </rPr>
      <t xml:space="preserve">As of 12.31.2002, total FIAP include: </t>
    </r>
    <r>
      <rPr>
        <sz val="9"/>
        <rFont val="Times New Roman"/>
        <family val="1"/>
      </rPr>
      <t>Argentina, Bolivia, Brasil, Bulgaria, Colombia, Costa Rica, Chile, Ecuador, El Salvador, España, Federación Rusa, Guatemala, Honduras, Kazajstán, México, Panamá, Perú, Polonia, República Dominicana, Ucrania, Uruguay y Venezuela.</t>
    </r>
  </si>
  <si>
    <r>
      <t xml:space="preserve">(1) República Dominicana: fondos voluntario administrados al 30.09.2002 y 31.12.2001 / </t>
    </r>
    <r>
      <rPr>
        <i/>
        <sz val="9"/>
        <color indexed="21"/>
        <rFont val="Times New Roman"/>
        <family val="1"/>
      </rPr>
      <t>Dominican Republic: voluntary funds managed as of 09.30.2002 and 12.31.2001</t>
    </r>
  </si>
  <si>
    <r>
      <t xml:space="preserve">(*) Todas las cifras en dólares al 31 de diciembre de 2001 indicadas, corresponden al valor en pesos a esa fecha actualizado por la variación de la U.F. entre el 31 de diciembre de 2001 y el 31 de diciembre de 2002 y dividido posteriormente por el valor del dólar al 31 de diciembre de 2002 / </t>
    </r>
    <r>
      <rPr>
        <i/>
        <sz val="9"/>
        <color indexed="21"/>
        <rFont val="Times New Roman"/>
        <family val="1"/>
      </rPr>
      <t>All ciphers in dollars as of december 31, 2001 indicates, correspond to the value in pesos brings up to date by U.F. variation between december 31, 2001 and december 31, 2002 and divides by the dollar value as of december 31, 2002.</t>
    </r>
  </si>
  <si>
    <r>
      <t xml:space="preserve">NOTA: </t>
    </r>
    <r>
      <rPr>
        <sz val="9"/>
        <rFont val="Times New Roman"/>
        <family val="1"/>
      </rPr>
      <t xml:space="preserve">Las cifras corresponden a Fondos de Pensiones Voluntarios. En Noviembre de 2001, se aprobó la Ley de Seguridad Social que incorpora el régimen de Capitalización Individual Obligatorio / </t>
    </r>
    <r>
      <rPr>
        <i/>
        <sz val="9"/>
        <color indexed="21"/>
        <rFont val="Times New Roman"/>
        <family val="1"/>
      </rPr>
      <t>Cipher correspond to Voluntary Pension Funds. On November 2001, Social Security Law was approved, incorporating the Individual Capitalization Mandatory regime.</t>
    </r>
  </si>
  <si>
    <t>COMPOSICION DE LA CARTERA AL 31.12.2001</t>
  </si>
  <si>
    <t>PORTFOLIO COMPOSITION AS OF 12.31.2001</t>
  </si>
  <si>
    <r>
      <t xml:space="preserve">(2) Dato correspondiente a abril de 2002 / </t>
    </r>
    <r>
      <rPr>
        <i/>
        <sz val="9"/>
        <color indexed="21"/>
        <rFont val="Times New Roman"/>
        <family val="1"/>
      </rPr>
      <t>Cipher correspond to april 2002</t>
    </r>
  </si>
  <si>
    <r>
      <t xml:space="preserve">(4) Dato correspondiente al 30.06.2002 / </t>
    </r>
    <r>
      <rPr>
        <i/>
        <sz val="9"/>
        <color indexed="21"/>
        <rFont val="Times New Roman"/>
        <family val="1"/>
      </rPr>
      <t>Cipher correspond to 06.30.2002</t>
    </r>
  </si>
  <si>
    <r>
      <t xml:space="preserve">(5) En Bolivia, conforme a disposición legal, el mercado estuvo cautivo por 5 años. / </t>
    </r>
    <r>
      <rPr>
        <i/>
        <sz val="9"/>
        <color indexed="21"/>
        <rFont val="Times New Roman"/>
        <family val="1"/>
      </rPr>
      <t>In Bolivia, by law, the market was 5 years without switchovers.</t>
    </r>
  </si>
  <si>
    <r>
      <t xml:space="preserve">(6) Corresponde a las cuentas que se traspasaron entre administradoras tres meses después de la suscripción del traspaso, excluyendo aquellas suspendidas por reclamos, fallecimientos o trámites de pensión / </t>
    </r>
    <r>
      <rPr>
        <i/>
        <sz val="9"/>
        <color indexed="21"/>
        <rFont val="Times New Roman"/>
        <family val="1"/>
      </rPr>
      <t>It correspond to the accounts that were transfered between administrators three months after the transfer suscription, excluding that one suspended by complaint, dead or pension procedure.</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</si>
</sst>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0\ _P_t_a_-;\-* #,##0.00\ _P_t_a_-;_-* &quot;-&quot;???\ _P_t_a_-;_-@_-"/>
    <numFmt numFmtId="167" formatCode="#,##0.000"/>
    <numFmt numFmtId="168" formatCode="#,##0_ ;\-#,##0\ "/>
    <numFmt numFmtId="169" formatCode="#,##0.00;[Red]#,##0.00"/>
    <numFmt numFmtId="170" formatCode="0.000%"/>
    <numFmt numFmtId="171" formatCode="#,##0;[Red]#,##0"/>
    <numFmt numFmtId="172" formatCode="mmmm\ d\,\ yyyy"/>
    <numFmt numFmtId="173" formatCode="mmmm/yy"/>
    <numFmt numFmtId="174" formatCode="#,##0.00000"/>
    <numFmt numFmtId="175" formatCode="_-* #,##0_-;\-* #,##0_-;_-* &quot;-&quot;??_-;_-@_-"/>
    <numFmt numFmtId="176" formatCode="_-* #,##0.00_-;\-* #,##0.00_-;_-* &quot;-&quot;_-;_-@_-"/>
    <numFmt numFmtId="177" formatCode="0.000"/>
    <numFmt numFmtId="178" formatCode="dd/mm/yyyy"/>
    <numFmt numFmtId="179" formatCode="_(* #,##0.00_);_(* \(#,##0.00\);_(* &quot;-&quot;_);_(@_)"/>
    <numFmt numFmtId="180" formatCode="_(* #,##0_);_(* \(#,##0\);_(* &quot;-&quot;??_);_(@_)"/>
    <numFmt numFmtId="181" formatCode="_(* #,##0.00_);_(* \(#,##0.00\);_(* &quot;-&quot;??_);_(@_)"/>
    <numFmt numFmtId="182" formatCode="_-* #,##0.000_-;\-* #,##0.000_-;_-* &quot;-&quot;??_-;_-@_-"/>
    <numFmt numFmtId="183" formatCode="_(&quot;$&quot;* #,##0.00_);_(&quot;$&quot;* \(#,##0.00\);_(&quot;$&quot;* &quot;-&quot;??_);_(@_)"/>
    <numFmt numFmtId="184" formatCode="&quot;$&quot;#,##0_);[Red]\(&quot;$&quot;#,##0\)"/>
    <numFmt numFmtId="185" formatCode="0.0000%"/>
    <numFmt numFmtId="186" formatCode="0.00000%"/>
    <numFmt numFmtId="187" formatCode="0.0000"/>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00000%"/>
    <numFmt numFmtId="197" formatCode="0.00000000%"/>
  </numFmts>
  <fonts count="111">
    <font>
      <sz val="10"/>
      <name val="Arial"/>
      <family val="0"/>
    </font>
    <font>
      <b/>
      <sz val="8"/>
      <name val="Times New Roman"/>
      <family val="1"/>
    </font>
    <font>
      <b/>
      <i/>
      <sz val="8"/>
      <color indexed="21"/>
      <name val="Times New Roman"/>
      <family val="1"/>
    </font>
    <font>
      <b/>
      <sz val="11"/>
      <name val="Times New Roman"/>
      <family val="1"/>
    </font>
    <font>
      <sz val="8"/>
      <name val="Times New Roman"/>
      <family val="1"/>
    </font>
    <font>
      <sz val="8"/>
      <name val="Arial"/>
      <family val="0"/>
    </font>
    <font>
      <b/>
      <sz val="14"/>
      <name val="Bookman Old Style"/>
      <family val="1"/>
    </font>
    <font>
      <sz val="11"/>
      <name val="Times New Roman"/>
      <family val="1"/>
    </font>
    <font>
      <b/>
      <sz val="12"/>
      <name val="Times New Roman"/>
      <family val="1"/>
    </font>
    <font>
      <b/>
      <i/>
      <sz val="12"/>
      <color indexed="21"/>
      <name val="Times New Roman"/>
      <family val="1"/>
    </font>
    <font>
      <b/>
      <i/>
      <sz val="11"/>
      <color indexed="21"/>
      <name val="Times New Roman"/>
      <family val="1"/>
    </font>
    <font>
      <b/>
      <sz val="10"/>
      <name val="Times New Roman"/>
      <family val="1"/>
    </font>
    <font>
      <b/>
      <sz val="10"/>
      <color indexed="21"/>
      <name val="Times New Roman"/>
      <family val="1"/>
    </font>
    <font>
      <sz val="10"/>
      <name val="Times New Roman"/>
      <family val="1"/>
    </font>
    <font>
      <sz val="9"/>
      <name val="Arial"/>
      <family val="2"/>
    </font>
    <font>
      <b/>
      <sz val="10"/>
      <name val="Arial"/>
      <family val="2"/>
    </font>
    <font>
      <b/>
      <sz val="9"/>
      <name val="Arial"/>
      <family val="2"/>
    </font>
    <font>
      <b/>
      <i/>
      <sz val="9"/>
      <color indexed="21"/>
      <name val="Arial"/>
      <family val="2"/>
    </font>
    <font>
      <sz val="20.75"/>
      <name val="Arial"/>
      <family val="0"/>
    </font>
    <font>
      <b/>
      <sz val="8"/>
      <name val="Arial"/>
      <family val="2"/>
    </font>
    <font>
      <sz val="20.5"/>
      <name val="Arial"/>
      <family val="0"/>
    </font>
    <font>
      <sz val="18.5"/>
      <name val="Arial"/>
      <family val="0"/>
    </font>
    <font>
      <sz val="23"/>
      <name val="Arial"/>
      <family val="0"/>
    </font>
    <font>
      <sz val="22.75"/>
      <name val="Arial"/>
      <family val="0"/>
    </font>
    <font>
      <sz val="9.75"/>
      <name val="Arial"/>
      <family val="2"/>
    </font>
    <font>
      <sz val="21.5"/>
      <name val="Arial"/>
      <family val="0"/>
    </font>
    <font>
      <sz val="8"/>
      <color indexed="10"/>
      <name val="Times New Roman"/>
      <family val="1"/>
    </font>
    <font>
      <sz val="9"/>
      <name val="Times New Roman"/>
      <family val="1"/>
    </font>
    <font>
      <b/>
      <sz val="11"/>
      <color indexed="21"/>
      <name val="Times New Roman"/>
      <family val="1"/>
    </font>
    <font>
      <b/>
      <sz val="14"/>
      <name val="Times New Roman"/>
      <family val="1"/>
    </font>
    <font>
      <i/>
      <sz val="11"/>
      <color indexed="21"/>
      <name val="Times New Roman"/>
      <family val="1"/>
    </font>
    <font>
      <i/>
      <sz val="10"/>
      <color indexed="21"/>
      <name val="Times New Roman"/>
      <family val="1"/>
    </font>
    <font>
      <b/>
      <i/>
      <sz val="14"/>
      <color indexed="21"/>
      <name val="Times New Roman"/>
      <family val="1"/>
    </font>
    <font>
      <i/>
      <sz val="9"/>
      <color indexed="21"/>
      <name val="Times New Roman"/>
      <family val="1"/>
    </font>
    <font>
      <b/>
      <i/>
      <sz val="9"/>
      <color indexed="21"/>
      <name val="Times New Roman"/>
      <family val="1"/>
    </font>
    <font>
      <b/>
      <sz val="9"/>
      <name val="Times New Roman"/>
      <family val="1"/>
    </font>
    <font>
      <b/>
      <sz val="9"/>
      <color indexed="21"/>
      <name val="Times New Roman"/>
      <family val="1"/>
    </font>
    <font>
      <b/>
      <i/>
      <sz val="9"/>
      <name val="Times New Roman"/>
      <family val="1"/>
    </font>
    <font>
      <i/>
      <sz val="8"/>
      <color indexed="21"/>
      <name val="Times New Roman"/>
      <family val="1"/>
    </font>
    <font>
      <sz val="19.75"/>
      <name val="Arial"/>
      <family val="0"/>
    </font>
    <font>
      <sz val="11"/>
      <name val="Arial"/>
      <family val="0"/>
    </font>
    <font>
      <sz val="10"/>
      <color indexed="21"/>
      <name val="Arial"/>
      <family val="0"/>
    </font>
    <font>
      <u val="single"/>
      <sz val="10"/>
      <color indexed="12"/>
      <name val="Arial"/>
      <family val="0"/>
    </font>
    <font>
      <u val="single"/>
      <sz val="10"/>
      <color indexed="36"/>
      <name val="Arial"/>
      <family val="0"/>
    </font>
    <font>
      <sz val="17.75"/>
      <name val="Arial"/>
      <family val="0"/>
    </font>
    <font>
      <sz val="12"/>
      <name val="Arial"/>
      <family val="0"/>
    </font>
    <font>
      <sz val="6"/>
      <name val="Arial"/>
      <family val="2"/>
    </font>
    <font>
      <sz val="19.5"/>
      <name val="Arial"/>
      <family val="0"/>
    </font>
    <font>
      <sz val="18.75"/>
      <name val="Arial"/>
      <family val="0"/>
    </font>
    <font>
      <sz val="22.5"/>
      <name val="Arial"/>
      <family val="0"/>
    </font>
    <font>
      <b/>
      <i/>
      <sz val="8"/>
      <color indexed="21"/>
      <name val="Arial"/>
      <family val="2"/>
    </font>
    <font>
      <sz val="15"/>
      <name val="Arial"/>
      <family val="0"/>
    </font>
    <font>
      <sz val="15.25"/>
      <name val="Arial"/>
      <family val="0"/>
    </font>
    <font>
      <sz val="21.75"/>
      <name val="Arial"/>
      <family val="0"/>
    </font>
    <font>
      <sz val="8.5"/>
      <name val="Arial"/>
      <family val="2"/>
    </font>
    <font>
      <sz val="9.25"/>
      <name val="Arial"/>
      <family val="2"/>
    </font>
    <font>
      <sz val="21"/>
      <name val="Arial"/>
      <family val="0"/>
    </font>
    <font>
      <b/>
      <sz val="8.75"/>
      <name val="Arial"/>
      <family val="2"/>
    </font>
    <font>
      <b/>
      <i/>
      <sz val="8.75"/>
      <color indexed="21"/>
      <name val="Arial"/>
      <family val="2"/>
    </font>
    <font>
      <sz val="15.75"/>
      <name val="Arial"/>
      <family val="0"/>
    </font>
    <font>
      <sz val="8.25"/>
      <name val="Arial"/>
      <family val="2"/>
    </font>
    <font>
      <sz val="17"/>
      <name val="Arial"/>
      <family val="0"/>
    </font>
    <font>
      <sz val="6.5"/>
      <name val="Arial"/>
      <family val="2"/>
    </font>
    <font>
      <sz val="17.5"/>
      <name val="Arial"/>
      <family val="0"/>
    </font>
    <font>
      <sz val="7"/>
      <name val="Arial"/>
      <family val="2"/>
    </font>
    <font>
      <sz val="20"/>
      <name val="Arial"/>
      <family val="0"/>
    </font>
    <font>
      <sz val="23.5"/>
      <name val="Arial"/>
      <family val="0"/>
    </font>
    <font>
      <sz val="21.25"/>
      <name val="Arial"/>
      <family val="0"/>
    </font>
    <font>
      <sz val="16"/>
      <name val="Arial"/>
      <family val="0"/>
    </font>
    <font>
      <sz val="18"/>
      <name val="Arial"/>
      <family val="0"/>
    </font>
    <font>
      <b/>
      <sz val="8.25"/>
      <name val="Arial"/>
      <family val="2"/>
    </font>
    <font>
      <sz val="19.25"/>
      <name val="Arial"/>
      <family val="0"/>
    </font>
    <font>
      <sz val="8.75"/>
      <name val="Arial"/>
      <family val="2"/>
    </font>
    <font>
      <sz val="10"/>
      <color indexed="9"/>
      <name val="Arial"/>
      <family val="2"/>
    </font>
    <font>
      <b/>
      <sz val="11"/>
      <color indexed="10"/>
      <name val="Times New Roman"/>
      <family val="1"/>
    </font>
    <font>
      <b/>
      <i/>
      <sz val="10"/>
      <color indexed="21"/>
      <name val="Arial"/>
      <family val="2"/>
    </font>
    <font>
      <sz val="16.75"/>
      <name val="Arial"/>
      <family val="0"/>
    </font>
    <font>
      <sz val="26.5"/>
      <name val="Arial"/>
      <family val="0"/>
    </font>
    <font>
      <i/>
      <sz val="10"/>
      <color indexed="21"/>
      <name val="Arial"/>
      <family val="2"/>
    </font>
    <font>
      <sz val="30.25"/>
      <name val="Arial"/>
      <family val="0"/>
    </font>
    <font>
      <b/>
      <sz val="11.25"/>
      <name val="Arial"/>
      <family val="2"/>
    </font>
    <font>
      <b/>
      <i/>
      <sz val="11.25"/>
      <color indexed="21"/>
      <name val="Arial"/>
      <family val="2"/>
    </font>
    <font>
      <b/>
      <sz val="9.25"/>
      <name val="Arial"/>
      <family val="2"/>
    </font>
    <font>
      <sz val="11"/>
      <color indexed="53"/>
      <name val="Times New Roman"/>
      <family val="1"/>
    </font>
    <font>
      <sz val="10"/>
      <color indexed="53"/>
      <name val="Arial"/>
      <family val="0"/>
    </font>
    <font>
      <sz val="19"/>
      <name val="Arial"/>
      <family val="0"/>
    </font>
    <font>
      <b/>
      <sz val="9.75"/>
      <name val="Arial"/>
      <family val="2"/>
    </font>
    <font>
      <b/>
      <i/>
      <sz val="9.75"/>
      <color indexed="21"/>
      <name val="Arial"/>
      <family val="2"/>
    </font>
    <font>
      <sz val="25.5"/>
      <name val="Arial"/>
      <family val="0"/>
    </font>
    <font>
      <sz val="8"/>
      <color indexed="21"/>
      <name val="Times New Roman"/>
      <family val="1"/>
    </font>
    <font>
      <sz val="11"/>
      <color indexed="21"/>
      <name val="Times New Roman"/>
      <family val="1"/>
    </font>
    <font>
      <sz val="20.25"/>
      <name val="Arial"/>
      <family val="0"/>
    </font>
    <font>
      <sz val="17.25"/>
      <name val="Arial"/>
      <family val="0"/>
    </font>
    <font>
      <sz val="23.75"/>
      <name val="Arial"/>
      <family val="0"/>
    </font>
    <font>
      <sz val="22"/>
      <name val="Arial"/>
      <family val="0"/>
    </font>
    <font>
      <b/>
      <sz val="10.25"/>
      <name val="Arial"/>
      <family val="2"/>
    </font>
    <font>
      <i/>
      <sz val="8"/>
      <name val="Times New Roman"/>
      <family val="1"/>
    </font>
    <font>
      <b/>
      <i/>
      <sz val="10"/>
      <color indexed="21"/>
      <name val="Times New Roman"/>
      <family val="1"/>
    </font>
    <font>
      <sz val="7"/>
      <name val="Times New Roman"/>
      <family val="1"/>
    </font>
    <font>
      <i/>
      <sz val="8"/>
      <name val="Arial"/>
      <family val="2"/>
    </font>
    <font>
      <sz val="10"/>
      <color indexed="10"/>
      <name val="Times New Roman"/>
      <family val="1"/>
    </font>
    <font>
      <sz val="10"/>
      <color indexed="8"/>
      <name val="Arial"/>
      <family val="2"/>
    </font>
    <font>
      <b/>
      <sz val="10"/>
      <color indexed="8"/>
      <name val="Arial"/>
      <family val="2"/>
    </font>
    <font>
      <b/>
      <sz val="16"/>
      <name val="Times New Roman"/>
      <family val="1"/>
    </font>
    <font>
      <b/>
      <i/>
      <sz val="14"/>
      <color indexed="21"/>
      <name val="Bookman Old Style"/>
      <family val="1"/>
    </font>
    <font>
      <sz val="10"/>
      <color indexed="10"/>
      <name val="Arial"/>
      <family val="0"/>
    </font>
    <font>
      <b/>
      <sz val="24"/>
      <color indexed="21"/>
      <name val="Times New Roman"/>
      <family val="1"/>
    </font>
    <font>
      <b/>
      <i/>
      <sz val="24"/>
      <color indexed="21"/>
      <name val="Times New Roman"/>
      <family val="1"/>
    </font>
    <font>
      <b/>
      <sz val="20"/>
      <color indexed="21"/>
      <name val="Times New Roman"/>
      <family val="1"/>
    </font>
    <font>
      <b/>
      <i/>
      <sz val="20"/>
      <color indexed="21"/>
      <name val="Times New Roman"/>
      <family val="1"/>
    </font>
    <font>
      <b/>
      <sz val="10"/>
      <color indexed="2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21"/>
        <bgColor indexed="64"/>
      </patternFill>
    </fill>
  </fills>
  <borders count="34">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color indexed="63"/>
      </bottom>
    </border>
    <border>
      <left>
        <color indexed="63"/>
      </left>
      <right>
        <color indexed="63"/>
      </right>
      <top style="medium">
        <color indexed="21"/>
      </top>
      <bottom>
        <color indexed="63"/>
      </bottom>
    </border>
    <border>
      <left>
        <color indexed="63"/>
      </left>
      <right style="medium">
        <color indexed="21"/>
      </right>
      <top style="medium">
        <color indexed="21"/>
      </top>
      <bottom>
        <color indexed="63"/>
      </bottom>
    </border>
    <border>
      <left style="medium">
        <color indexed="21"/>
      </left>
      <right>
        <color indexed="63"/>
      </right>
      <top>
        <color indexed="63"/>
      </top>
      <bottom style="medium">
        <color indexed="21"/>
      </bottom>
    </border>
    <border>
      <left>
        <color indexed="63"/>
      </left>
      <right>
        <color indexed="63"/>
      </right>
      <top>
        <color indexed="63"/>
      </top>
      <bottom style="medium">
        <color indexed="21"/>
      </bottom>
    </border>
    <border>
      <left>
        <color indexed="63"/>
      </left>
      <right style="medium">
        <color indexed="21"/>
      </right>
      <top>
        <color indexed="63"/>
      </top>
      <bottom style="medium">
        <color indexed="21"/>
      </bottom>
    </border>
    <border>
      <left style="medium">
        <color indexed="21"/>
      </left>
      <right>
        <color indexed="63"/>
      </right>
      <top style="medium">
        <color indexed="21"/>
      </top>
      <bottom>
        <color indexed="63"/>
      </bottom>
    </border>
    <border>
      <left>
        <color indexed="63"/>
      </left>
      <right style="medium">
        <color indexed="21"/>
      </right>
      <top>
        <color indexed="63"/>
      </top>
      <bottom>
        <color indexed="63"/>
      </bottom>
    </border>
    <border>
      <left style="medium">
        <color indexed="21"/>
      </left>
      <right>
        <color indexed="63"/>
      </right>
      <top>
        <color indexed="63"/>
      </top>
      <bottom>
        <color indexed="63"/>
      </bottom>
    </border>
    <border>
      <left>
        <color indexed="63"/>
      </left>
      <right>
        <color indexed="63"/>
      </right>
      <top style="thin"/>
      <bottom style="thin"/>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7">
    <xf numFmtId="0" fontId="0" fillId="0" borderId="0" xfId="0"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9" fillId="0" borderId="0" xfId="0" applyFont="1" applyBorder="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10" fillId="0" borderId="3" xfId="0" applyFont="1" applyBorder="1" applyAlignment="1">
      <alignment horizontal="center"/>
    </xf>
    <xf numFmtId="3" fontId="3" fillId="0" borderId="2" xfId="0" applyNumberFormat="1" applyFont="1" applyBorder="1" applyAlignment="1">
      <alignment horizontal="center"/>
    </xf>
    <xf numFmtId="3" fontId="7" fillId="0" borderId="0" xfId="0" applyNumberFormat="1" applyFont="1" applyBorder="1" applyAlignment="1">
      <alignment horizontal="right"/>
    </xf>
    <xf numFmtId="10" fontId="7" fillId="0" borderId="0" xfId="0" applyNumberFormat="1" applyFont="1" applyBorder="1" applyAlignment="1">
      <alignment horizontal="right"/>
    </xf>
    <xf numFmtId="0" fontId="3" fillId="0" borderId="2" xfId="0" applyFont="1" applyBorder="1" applyAlignment="1">
      <alignment/>
    </xf>
    <xf numFmtId="3" fontId="3" fillId="2" borderId="2" xfId="0" applyNumberFormat="1" applyFont="1" applyFill="1" applyBorder="1" applyAlignment="1">
      <alignment horizontal="right"/>
    </xf>
    <xf numFmtId="10" fontId="3" fillId="2" borderId="2" xfId="0" applyNumberFormat="1" applyFont="1" applyFill="1" applyBorder="1" applyAlignment="1">
      <alignment horizontal="right"/>
    </xf>
    <xf numFmtId="10" fontId="3" fillId="0" borderId="2" xfId="0" applyNumberFormat="1" applyFont="1" applyBorder="1" applyAlignment="1">
      <alignment horizontal="right"/>
    </xf>
    <xf numFmtId="3" fontId="11" fillId="0" borderId="0" xfId="0" applyNumberFormat="1" applyFont="1" applyBorder="1" applyAlignment="1">
      <alignment horizontal="left"/>
    </xf>
    <xf numFmtId="0" fontId="13" fillId="0" borderId="0" xfId="0" applyFont="1" applyBorder="1" applyAlignment="1">
      <alignment/>
    </xf>
    <xf numFmtId="3" fontId="7" fillId="0" borderId="0" xfId="0" applyNumberFormat="1" applyFont="1" applyBorder="1" applyAlignment="1">
      <alignment horizontal="center"/>
    </xf>
    <xf numFmtId="10" fontId="7" fillId="0" borderId="0" xfId="0" applyNumberFormat="1" applyFont="1" applyBorder="1" applyAlignment="1">
      <alignment horizontal="center"/>
    </xf>
    <xf numFmtId="3" fontId="3" fillId="0" borderId="2" xfId="0" applyNumberFormat="1" applyFont="1" applyBorder="1" applyAlignment="1">
      <alignment horizontal="right"/>
    </xf>
    <xf numFmtId="0" fontId="10" fillId="0" borderId="0" xfId="0" applyFont="1" applyBorder="1" applyAlignment="1">
      <alignment/>
    </xf>
    <xf numFmtId="0" fontId="10" fillId="0" borderId="4" xfId="0" applyFont="1" applyBorder="1" applyAlignment="1">
      <alignment horizontal="center"/>
    </xf>
    <xf numFmtId="0" fontId="3" fillId="0" borderId="4" xfId="0" applyFont="1" applyBorder="1" applyAlignment="1">
      <alignment horizontal="center"/>
    </xf>
    <xf numFmtId="3" fontId="3" fillId="0" borderId="3" xfId="0" applyNumberFormat="1" applyFont="1" applyBorder="1" applyAlignment="1">
      <alignment horizontal="center"/>
    </xf>
    <xf numFmtId="0" fontId="3" fillId="0" borderId="3" xfId="0" applyFont="1" applyBorder="1" applyAlignment="1">
      <alignment horizontal="center"/>
    </xf>
    <xf numFmtId="3" fontId="7" fillId="0" borderId="0" xfId="0" applyNumberFormat="1" applyFont="1" applyAlignment="1">
      <alignment horizontal="right"/>
    </xf>
    <xf numFmtId="0" fontId="7" fillId="0" borderId="0" xfId="0" applyFont="1" applyAlignment="1">
      <alignment/>
    </xf>
    <xf numFmtId="0" fontId="7" fillId="0" borderId="0" xfId="0" applyFont="1" applyAlignment="1">
      <alignment/>
    </xf>
    <xf numFmtId="10" fontId="7" fillId="0" borderId="0" xfId="21" applyNumberFormat="1" applyFont="1" applyAlignment="1">
      <alignment horizontal="right"/>
    </xf>
    <xf numFmtId="3" fontId="7" fillId="0" borderId="0" xfId="0" applyNumberFormat="1" applyFont="1" applyAlignment="1">
      <alignment/>
    </xf>
    <xf numFmtId="10" fontId="3" fillId="0" borderId="2" xfId="21" applyNumberFormat="1" applyFont="1" applyBorder="1" applyAlignment="1">
      <alignment horizontal="right"/>
    </xf>
    <xf numFmtId="10" fontId="7" fillId="0" borderId="0" xfId="21" applyNumberFormat="1" applyFont="1" applyBorder="1" applyAlignment="1">
      <alignment horizontal="right"/>
    </xf>
    <xf numFmtId="0" fontId="13" fillId="0" borderId="0" xfId="0" applyFont="1" applyAlignment="1">
      <alignment/>
    </xf>
    <xf numFmtId="0" fontId="0" fillId="0" borderId="0" xfId="0" applyAlignment="1">
      <alignment horizontal="justify" vertical="top" wrapText="1"/>
    </xf>
    <xf numFmtId="3" fontId="0" fillId="0" borderId="0" xfId="0" applyNumberFormat="1" applyAlignment="1">
      <alignment/>
    </xf>
    <xf numFmtId="0" fontId="11" fillId="0" borderId="0" xfId="0" applyFont="1" applyBorder="1" applyAlignment="1">
      <alignment horizontal="center"/>
    </xf>
    <xf numFmtId="3" fontId="13" fillId="0" borderId="0" xfId="0" applyNumberFormat="1" applyFont="1" applyBorder="1" applyAlignment="1">
      <alignment horizontal="center"/>
    </xf>
    <xf numFmtId="4" fontId="13" fillId="0" borderId="0" xfId="0" applyNumberFormat="1" applyFont="1" applyBorder="1" applyAlignment="1">
      <alignment/>
    </xf>
    <xf numFmtId="4" fontId="13" fillId="0" borderId="0" xfId="0" applyNumberFormat="1" applyFont="1" applyBorder="1" applyAlignment="1">
      <alignment horizontal="right"/>
    </xf>
    <xf numFmtId="4" fontId="13" fillId="0" borderId="0" xfId="17" applyNumberFormat="1" applyFont="1" applyBorder="1" applyAlignment="1">
      <alignment/>
    </xf>
    <xf numFmtId="0" fontId="0" fillId="0" borderId="0" xfId="0" applyAlignment="1">
      <alignment horizontal="center"/>
    </xf>
    <xf numFmtId="3" fontId="0" fillId="0" borderId="0" xfId="0" applyNumberFormat="1" applyAlignment="1">
      <alignment horizontal="center"/>
    </xf>
    <xf numFmtId="4" fontId="0" fillId="0" borderId="0" xfId="0" applyNumberFormat="1" applyAlignment="1">
      <alignment horizontal="center"/>
    </xf>
    <xf numFmtId="3" fontId="0" fillId="0" borderId="0" xfId="0" applyNumberFormat="1" applyFont="1" applyAlignment="1">
      <alignment/>
    </xf>
    <xf numFmtId="10" fontId="7" fillId="0" borderId="0" xfId="0" applyNumberFormat="1" applyFont="1" applyFill="1" applyBorder="1" applyAlignment="1">
      <alignment horizontal="right"/>
    </xf>
    <xf numFmtId="0" fontId="0" fillId="0" borderId="0" xfId="0" applyBorder="1" applyAlignment="1">
      <alignment/>
    </xf>
    <xf numFmtId="43" fontId="7" fillId="0" borderId="0" xfId="0" applyNumberFormat="1" applyFont="1" applyFill="1" applyBorder="1" applyAlignment="1">
      <alignment horizontal="right"/>
    </xf>
    <xf numFmtId="3" fontId="26" fillId="0" borderId="0" xfId="0" applyNumberFormat="1" applyFont="1" applyBorder="1" applyAlignment="1">
      <alignment horizontal="left"/>
    </xf>
    <xf numFmtId="167" fontId="7" fillId="0" borderId="0" xfId="0" applyNumberFormat="1" applyFont="1" applyFill="1" applyBorder="1" applyAlignment="1">
      <alignment horizontal="right"/>
    </xf>
    <xf numFmtId="10" fontId="7" fillId="0" borderId="0" xfId="0" applyNumberFormat="1" applyFont="1" applyFill="1" applyBorder="1" applyAlignment="1">
      <alignment horizontal="center"/>
    </xf>
    <xf numFmtId="43" fontId="7" fillId="0" borderId="0" xfId="0" applyNumberFormat="1" applyFont="1" applyFill="1" applyBorder="1" applyAlignment="1">
      <alignment horizontal="center"/>
    </xf>
    <xf numFmtId="0" fontId="3" fillId="0" borderId="5" xfId="0" applyFont="1" applyBorder="1" applyAlignment="1">
      <alignment horizontal="center"/>
    </xf>
    <xf numFmtId="0" fontId="10" fillId="0" borderId="5" xfId="0" applyFont="1" applyBorder="1" applyAlignment="1">
      <alignment horizontal="center"/>
    </xf>
    <xf numFmtId="3" fontId="3" fillId="0" borderId="0" xfId="0" applyNumberFormat="1" applyFont="1" applyBorder="1" applyAlignment="1">
      <alignment horizontal="center"/>
    </xf>
    <xf numFmtId="10" fontId="3" fillId="0" borderId="0" xfId="0" applyNumberFormat="1" applyFont="1" applyBorder="1" applyAlignment="1">
      <alignment horizontal="center"/>
    </xf>
    <xf numFmtId="0" fontId="0" fillId="0" borderId="0" xfId="0" applyAlignment="1">
      <alignment horizontal="right"/>
    </xf>
    <xf numFmtId="10" fontId="7" fillId="0" borderId="0" xfId="0" applyNumberFormat="1" applyFont="1" applyAlignment="1">
      <alignment/>
    </xf>
    <xf numFmtId="10" fontId="3" fillId="0" borderId="0" xfId="0" applyNumberFormat="1" applyFont="1" applyBorder="1" applyAlignment="1">
      <alignment horizontal="right"/>
    </xf>
    <xf numFmtId="0" fontId="3" fillId="0" borderId="0" xfId="0" applyFont="1" applyBorder="1" applyAlignment="1">
      <alignment horizontal="center"/>
    </xf>
    <xf numFmtId="0" fontId="9" fillId="0" borderId="0" xfId="0" applyFont="1" applyBorder="1" applyAlignment="1">
      <alignment horizontal="center"/>
    </xf>
    <xf numFmtId="3" fontId="13" fillId="0" borderId="0" xfId="0" applyNumberFormat="1" applyFont="1" applyBorder="1" applyAlignment="1">
      <alignment horizontal="right"/>
    </xf>
    <xf numFmtId="0" fontId="3" fillId="0" borderId="6" xfId="0" applyFont="1" applyBorder="1" applyAlignment="1">
      <alignment horizontal="center"/>
    </xf>
    <xf numFmtId="0" fontId="8" fillId="0" borderId="0" xfId="0" applyFont="1" applyBorder="1" applyAlignment="1">
      <alignment horizontal="center"/>
    </xf>
    <xf numFmtId="0" fontId="6" fillId="0" borderId="0" xfId="0" applyFont="1" applyFill="1" applyBorder="1" applyAlignment="1">
      <alignment horizontal="center"/>
    </xf>
    <xf numFmtId="0" fontId="27" fillId="0" borderId="0" xfId="0" applyFont="1" applyAlignment="1">
      <alignment/>
    </xf>
    <xf numFmtId="3" fontId="27" fillId="0" borderId="0" xfId="0" applyNumberFormat="1" applyFont="1" applyBorder="1" applyAlignment="1">
      <alignment horizontal="right"/>
    </xf>
    <xf numFmtId="0" fontId="34" fillId="0" borderId="0" xfId="0" applyFont="1" applyBorder="1" applyAlignment="1">
      <alignment/>
    </xf>
    <xf numFmtId="3" fontId="35" fillId="0" borderId="0" xfId="0" applyNumberFormat="1" applyFont="1" applyBorder="1" applyAlignment="1">
      <alignment horizontal="left"/>
    </xf>
    <xf numFmtId="3" fontId="34" fillId="0" borderId="0" xfId="0" applyNumberFormat="1" applyFont="1" applyBorder="1" applyAlignment="1">
      <alignment horizontal="left"/>
    </xf>
    <xf numFmtId="0" fontId="35" fillId="0" borderId="0" xfId="0" applyFont="1" applyBorder="1" applyAlignment="1">
      <alignment/>
    </xf>
    <xf numFmtId="0" fontId="27" fillId="0" borderId="0" xfId="0" applyFont="1" applyBorder="1" applyAlignment="1">
      <alignment/>
    </xf>
    <xf numFmtId="3" fontId="27" fillId="0" borderId="0" xfId="0" applyNumberFormat="1" applyFont="1" applyBorder="1" applyAlignment="1">
      <alignment/>
    </xf>
    <xf numFmtId="0" fontId="14" fillId="0" borderId="0" xfId="0" applyFont="1" applyAlignment="1">
      <alignment/>
    </xf>
    <xf numFmtId="3" fontId="38" fillId="0" borderId="0" xfId="0" applyNumberFormat="1" applyFont="1" applyBorder="1" applyAlignment="1">
      <alignment horizontal="left"/>
    </xf>
    <xf numFmtId="0" fontId="14" fillId="0" borderId="0" xfId="0" applyFont="1" applyAlignment="1">
      <alignment horizontal="justify" vertical="top" wrapText="1"/>
    </xf>
    <xf numFmtId="4" fontId="0" fillId="0" borderId="0" xfId="0" applyNumberFormat="1" applyAlignment="1">
      <alignment/>
    </xf>
    <xf numFmtId="3" fontId="0" fillId="0" borderId="0" xfId="0" applyNumberFormat="1" applyAlignment="1">
      <alignment horizontal="right"/>
    </xf>
    <xf numFmtId="3" fontId="0" fillId="0" borderId="0" xfId="0" applyNumberFormat="1" applyAlignment="1" quotePrefix="1">
      <alignment horizontal="right"/>
    </xf>
    <xf numFmtId="0" fontId="0" fillId="0" borderId="0" xfId="0" applyAlignment="1" quotePrefix="1">
      <alignment horizontal="right"/>
    </xf>
    <xf numFmtId="3" fontId="3" fillId="2" borderId="0" xfId="0" applyNumberFormat="1" applyFont="1" applyFill="1" applyBorder="1" applyAlignment="1">
      <alignment horizontal="right"/>
    </xf>
    <xf numFmtId="10" fontId="3" fillId="2" borderId="0" xfId="0" applyNumberFormat="1" applyFont="1" applyFill="1" applyBorder="1" applyAlignment="1">
      <alignment horizontal="right"/>
    </xf>
    <xf numFmtId="0" fontId="7" fillId="0" borderId="0" xfId="0" applyFont="1" applyAlignment="1">
      <alignment horizontal="left"/>
    </xf>
    <xf numFmtId="3" fontId="35" fillId="0" borderId="0" xfId="0" applyNumberFormat="1" applyFont="1" applyBorder="1" applyAlignment="1">
      <alignment horizontal="justify" vertical="top" wrapText="1"/>
    </xf>
    <xf numFmtId="0" fontId="35" fillId="0" borderId="0" xfId="0" applyFont="1" applyBorder="1" applyAlignment="1">
      <alignment horizontal="center"/>
    </xf>
    <xf numFmtId="3" fontId="35" fillId="0" borderId="0" xfId="0" applyNumberFormat="1" applyFont="1" applyBorder="1" applyAlignment="1">
      <alignment horizontal="center"/>
    </xf>
    <xf numFmtId="0" fontId="15" fillId="0" borderId="0" xfId="0" applyFont="1" applyAlignment="1">
      <alignment/>
    </xf>
    <xf numFmtId="0" fontId="11" fillId="0" borderId="0" xfId="0" applyFont="1" applyBorder="1" applyAlignment="1" quotePrefix="1">
      <alignment horizontal="center"/>
    </xf>
    <xf numFmtId="0" fontId="11" fillId="0" borderId="0" xfId="0" applyFont="1" applyAlignment="1" quotePrefix="1">
      <alignment horizontal="center"/>
    </xf>
    <xf numFmtId="3" fontId="15" fillId="0" borderId="0" xfId="0" applyNumberFormat="1" applyFont="1" applyAlignment="1">
      <alignment/>
    </xf>
    <xf numFmtId="0" fontId="15" fillId="0" borderId="0" xfId="0" applyFont="1" applyAlignment="1">
      <alignment horizontal="center"/>
    </xf>
    <xf numFmtId="4" fontId="15" fillId="0" borderId="0" xfId="0" applyNumberFormat="1" applyFont="1" applyAlignment="1">
      <alignment/>
    </xf>
    <xf numFmtId="3"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Alignment="1">
      <alignment/>
    </xf>
    <xf numFmtId="3" fontId="13" fillId="0" borderId="0" xfId="0" applyNumberFormat="1" applyFont="1" applyAlignment="1">
      <alignment/>
    </xf>
    <xf numFmtId="10" fontId="13" fillId="0" borderId="0" xfId="0" applyNumberFormat="1" applyFont="1" applyAlignment="1">
      <alignment/>
    </xf>
    <xf numFmtId="3" fontId="13" fillId="0" borderId="0" xfId="0" applyNumberFormat="1" applyFont="1" applyAlignment="1">
      <alignment horizontal="right"/>
    </xf>
    <xf numFmtId="0" fontId="40" fillId="0" borderId="0" xfId="0" applyFont="1" applyAlignment="1">
      <alignment/>
    </xf>
    <xf numFmtId="0" fontId="13" fillId="0" borderId="0" xfId="0" applyFont="1" applyBorder="1" applyAlignment="1">
      <alignment horizontal="left"/>
    </xf>
    <xf numFmtId="10" fontId="13" fillId="0" borderId="0" xfId="0" applyNumberFormat="1" applyFont="1" applyBorder="1" applyAlignment="1">
      <alignment horizontal="right"/>
    </xf>
    <xf numFmtId="10" fontId="13" fillId="0" borderId="0" xfId="0" applyNumberFormat="1" applyFont="1" applyAlignment="1">
      <alignment horizontal="right"/>
    </xf>
    <xf numFmtId="0" fontId="10" fillId="0" borderId="0" xfId="0" applyFont="1" applyBorder="1" applyAlignment="1">
      <alignment horizontal="center"/>
    </xf>
    <xf numFmtId="3" fontId="7" fillId="0" borderId="0" xfId="0" applyNumberFormat="1" applyFont="1" applyBorder="1" applyAlignment="1">
      <alignment/>
    </xf>
    <xf numFmtId="10" fontId="7" fillId="0" borderId="0" xfId="0" applyNumberFormat="1" applyFont="1" applyBorder="1" applyAlignment="1" quotePrefix="1">
      <alignment horizontal="right"/>
    </xf>
    <xf numFmtId="10" fontId="7" fillId="0" borderId="0" xfId="21" applyNumberFormat="1" applyFont="1" applyBorder="1" applyAlignment="1">
      <alignment/>
    </xf>
    <xf numFmtId="0" fontId="8" fillId="0" borderId="0" xfId="0" applyFont="1" applyAlignment="1">
      <alignment/>
    </xf>
    <xf numFmtId="0" fontId="8" fillId="0" borderId="0" xfId="0" applyFont="1" applyBorder="1" applyAlignment="1">
      <alignment/>
    </xf>
    <xf numFmtId="0" fontId="9" fillId="0" borderId="0" xfId="0" applyFont="1" applyAlignment="1">
      <alignment/>
    </xf>
    <xf numFmtId="2" fontId="7" fillId="0" borderId="0" xfId="0" applyNumberFormat="1" applyFont="1" applyBorder="1" applyAlignment="1">
      <alignment horizontal="center"/>
    </xf>
    <xf numFmtId="4" fontId="11" fillId="0" borderId="0" xfId="0" applyNumberFormat="1" applyFont="1" applyBorder="1" applyAlignment="1">
      <alignment/>
    </xf>
    <xf numFmtId="2" fontId="7" fillId="0" borderId="0" xfId="0" applyNumberFormat="1" applyFont="1" applyBorder="1" applyAlignment="1">
      <alignment horizontal="right"/>
    </xf>
    <xf numFmtId="0" fontId="7" fillId="0" borderId="0" xfId="0" applyFont="1" applyFill="1" applyBorder="1" applyAlignment="1">
      <alignment/>
    </xf>
    <xf numFmtId="10" fontId="7" fillId="0" borderId="7" xfId="0" applyNumberFormat="1" applyFont="1" applyBorder="1" applyAlignment="1">
      <alignment horizontal="right"/>
    </xf>
    <xf numFmtId="10" fontId="13" fillId="0" borderId="8" xfId="0" applyNumberFormat="1" applyFont="1" applyBorder="1" applyAlignment="1">
      <alignment horizontal="right"/>
    </xf>
    <xf numFmtId="0" fontId="7" fillId="0" borderId="0" xfId="0" applyFont="1" applyBorder="1" applyAlignment="1">
      <alignment horizontal="center"/>
    </xf>
    <xf numFmtId="1" fontId="0" fillId="0" borderId="0" xfId="0" applyNumberFormat="1" applyAlignment="1">
      <alignment/>
    </xf>
    <xf numFmtId="3" fontId="7" fillId="0" borderId="0" xfId="0" applyNumberFormat="1" applyFont="1" applyFill="1" applyBorder="1" applyAlignment="1">
      <alignment horizontal="right"/>
    </xf>
    <xf numFmtId="3" fontId="7" fillId="0" borderId="0" xfId="0" applyNumberFormat="1" applyFont="1" applyFill="1" applyAlignment="1">
      <alignment/>
    </xf>
    <xf numFmtId="3" fontId="3" fillId="0" borderId="2" xfId="0" applyNumberFormat="1" applyFont="1" applyFill="1" applyBorder="1" applyAlignment="1">
      <alignment horizontal="right"/>
    </xf>
    <xf numFmtId="3" fontId="3" fillId="0" borderId="3" xfId="0" applyNumberFormat="1" applyFont="1" applyFill="1" applyBorder="1" applyAlignment="1">
      <alignment horizontal="center"/>
    </xf>
    <xf numFmtId="3" fontId="7" fillId="0" borderId="0" xfId="0" applyNumberFormat="1" applyFont="1" applyFill="1" applyBorder="1" applyAlignment="1">
      <alignment horizontal="center"/>
    </xf>
    <xf numFmtId="3" fontId="7" fillId="0" borderId="0" xfId="0" applyNumberFormat="1" applyFont="1" applyFill="1" applyBorder="1" applyAlignment="1" quotePrefix="1">
      <alignment horizontal="right"/>
    </xf>
    <xf numFmtId="0" fontId="13" fillId="0" borderId="0" xfId="0" applyFont="1" applyFill="1" applyBorder="1" applyAlignment="1">
      <alignment/>
    </xf>
    <xf numFmtId="0" fontId="0" fillId="0" borderId="0" xfId="0" applyFill="1" applyAlignment="1">
      <alignment/>
    </xf>
    <xf numFmtId="10" fontId="0" fillId="0" borderId="0" xfId="0" applyNumberFormat="1" applyAlignment="1">
      <alignment/>
    </xf>
    <xf numFmtId="10" fontId="3" fillId="0" borderId="2" xfId="0" applyNumberFormat="1" applyFont="1" applyFill="1" applyBorder="1" applyAlignment="1">
      <alignment horizontal="right"/>
    </xf>
    <xf numFmtId="3" fontId="7" fillId="0" borderId="0" xfId="0" applyNumberFormat="1" applyFont="1" applyFill="1" applyAlignment="1">
      <alignment horizontal="right"/>
    </xf>
    <xf numFmtId="0" fontId="0" fillId="0" borderId="0" xfId="0" applyAlignment="1" quotePrefix="1">
      <alignment/>
    </xf>
    <xf numFmtId="3" fontId="7" fillId="0" borderId="0" xfId="0" applyNumberFormat="1" applyFont="1" applyBorder="1" applyAlignment="1">
      <alignment/>
    </xf>
    <xf numFmtId="10" fontId="7" fillId="0" borderId="0" xfId="0" applyNumberFormat="1" applyFont="1" applyBorder="1" applyAlignment="1">
      <alignment/>
    </xf>
    <xf numFmtId="3" fontId="27" fillId="0" borderId="0" xfId="0" applyNumberFormat="1" applyFont="1" applyAlignment="1">
      <alignment/>
    </xf>
    <xf numFmtId="3" fontId="13" fillId="0" borderId="0" xfId="0" applyNumberFormat="1" applyFont="1" applyFill="1" applyAlignment="1">
      <alignment/>
    </xf>
    <xf numFmtId="3" fontId="13" fillId="0" borderId="0" xfId="0" applyNumberFormat="1" applyFont="1" applyFill="1" applyAlignment="1">
      <alignment horizontal="right"/>
    </xf>
    <xf numFmtId="0" fontId="3" fillId="0" borderId="0" xfId="0" applyFont="1" applyFill="1" applyBorder="1" applyAlignment="1">
      <alignment/>
    </xf>
    <xf numFmtId="3" fontId="7" fillId="0" borderId="0" xfId="0" applyNumberFormat="1" applyFont="1" applyAlignment="1" quotePrefix="1">
      <alignment horizontal="right"/>
    </xf>
    <xf numFmtId="10" fontId="3" fillId="0" borderId="2" xfId="0" applyNumberFormat="1" applyFont="1" applyBorder="1" applyAlignment="1" quotePrefix="1">
      <alignment horizontal="right"/>
    </xf>
    <xf numFmtId="17" fontId="0" fillId="0" borderId="0" xfId="0" applyNumberFormat="1" applyAlignment="1" quotePrefix="1">
      <alignment horizontal="right"/>
    </xf>
    <xf numFmtId="0" fontId="0" fillId="0" borderId="0" xfId="0" applyNumberFormat="1" applyAlignment="1" quotePrefix="1">
      <alignment horizontal="right"/>
    </xf>
    <xf numFmtId="10" fontId="3" fillId="0" borderId="2" xfId="0" applyNumberFormat="1" applyFont="1" applyBorder="1" applyAlignment="1">
      <alignment horizontal="center"/>
    </xf>
    <xf numFmtId="3" fontId="7" fillId="0" borderId="0" xfId="17" applyNumberFormat="1" applyFont="1" applyBorder="1" applyAlignment="1">
      <alignment horizontal="right"/>
    </xf>
    <xf numFmtId="3" fontId="13" fillId="0" borderId="0" xfId="0" applyNumberFormat="1" applyFont="1" applyBorder="1" applyAlignment="1">
      <alignment horizontal="justify" vertical="top"/>
    </xf>
    <xf numFmtId="0" fontId="3" fillId="0" borderId="9" xfId="0" applyFont="1" applyBorder="1" applyAlignment="1">
      <alignment horizontal="center"/>
    </xf>
    <xf numFmtId="3" fontId="4" fillId="0" borderId="0" xfId="0" applyNumberFormat="1" applyFont="1" applyBorder="1" applyAlignment="1">
      <alignment/>
    </xf>
    <xf numFmtId="0" fontId="5" fillId="0" borderId="0" xfId="0" applyFont="1" applyAlignment="1">
      <alignment/>
    </xf>
    <xf numFmtId="0" fontId="35" fillId="0" borderId="0" xfId="0" applyFont="1" applyAlignment="1">
      <alignment horizontal="center" vertical="top"/>
    </xf>
    <xf numFmtId="0" fontId="35" fillId="0" borderId="0" xfId="0" applyFont="1" applyAlignment="1">
      <alignment/>
    </xf>
    <xf numFmtId="1" fontId="7" fillId="0" borderId="0" xfId="0" applyNumberFormat="1" applyFont="1" applyBorder="1" applyAlignment="1" quotePrefix="1">
      <alignment horizontal="right"/>
    </xf>
    <xf numFmtId="3" fontId="3" fillId="0" borderId="2" xfId="0" applyNumberFormat="1" applyFont="1" applyBorder="1" applyAlignment="1" quotePrefix="1">
      <alignment horizontal="right"/>
    </xf>
    <xf numFmtId="0" fontId="0" fillId="0" borderId="0" xfId="0" applyFont="1" applyAlignment="1">
      <alignment/>
    </xf>
    <xf numFmtId="3" fontId="3" fillId="0" borderId="0" xfId="0" applyNumberFormat="1" applyFont="1" applyFill="1" applyBorder="1" applyAlignment="1">
      <alignment horizontal="right"/>
    </xf>
    <xf numFmtId="10" fontId="3" fillId="0" borderId="0" xfId="0" applyNumberFormat="1" applyFont="1" applyFill="1" applyBorder="1" applyAlignment="1">
      <alignment horizontal="right"/>
    </xf>
    <xf numFmtId="0" fontId="11" fillId="0" borderId="0" xfId="0" applyFont="1" applyAlignment="1">
      <alignment/>
    </xf>
    <xf numFmtId="3" fontId="3" fillId="0" borderId="0" xfId="0" applyNumberFormat="1" applyFont="1" applyBorder="1" applyAlignment="1">
      <alignment/>
    </xf>
    <xf numFmtId="10" fontId="3" fillId="0" borderId="0" xfId="0" applyNumberFormat="1" applyFont="1" applyBorder="1" applyAlignment="1">
      <alignment/>
    </xf>
    <xf numFmtId="0" fontId="34" fillId="0" borderId="0" xfId="0" applyFont="1" applyAlignment="1">
      <alignment vertical="top"/>
    </xf>
    <xf numFmtId="3" fontId="13" fillId="0" borderId="0" xfId="0" applyNumberFormat="1" applyFont="1" applyFill="1" applyAlignment="1" quotePrefix="1">
      <alignment horizontal="right"/>
    </xf>
    <xf numFmtId="16" fontId="3" fillId="0" borderId="4" xfId="0" applyNumberFormat="1" applyFont="1" applyBorder="1" applyAlignment="1" quotePrefix="1">
      <alignment horizontal="center"/>
    </xf>
    <xf numFmtId="0" fontId="3" fillId="0" borderId="4" xfId="0" applyFont="1" applyBorder="1" applyAlignment="1" quotePrefix="1">
      <alignment horizontal="center"/>
    </xf>
    <xf numFmtId="41" fontId="7" fillId="0" borderId="0" xfId="17" applyNumberFormat="1" applyFont="1" applyBorder="1" applyAlignment="1">
      <alignment horizontal="center"/>
    </xf>
    <xf numFmtId="0" fontId="7" fillId="0" borderId="0" xfId="0" applyFont="1" applyFill="1" applyBorder="1" applyAlignment="1">
      <alignment wrapText="1"/>
    </xf>
    <xf numFmtId="3" fontId="37" fillId="0" borderId="0" xfId="0" applyNumberFormat="1" applyFont="1" applyBorder="1" applyAlignment="1">
      <alignment horizontal="left"/>
    </xf>
    <xf numFmtId="10" fontId="7" fillId="0" borderId="0" xfId="0" applyNumberFormat="1" applyFont="1" applyFill="1" applyBorder="1" applyAlignment="1" quotePrefix="1">
      <alignment horizontal="right"/>
    </xf>
    <xf numFmtId="0" fontId="27" fillId="0" borderId="0" xfId="0" applyFont="1" applyFill="1" applyBorder="1" applyAlignment="1">
      <alignment/>
    </xf>
    <xf numFmtId="0" fontId="13" fillId="0" borderId="0" xfId="0" applyFont="1" applyFill="1" applyAlignment="1">
      <alignment/>
    </xf>
    <xf numFmtId="0" fontId="27" fillId="0" borderId="0" xfId="0" applyFont="1" applyAlignment="1">
      <alignment horizontal="right"/>
    </xf>
    <xf numFmtId="0" fontId="27" fillId="0" borderId="0" xfId="0" applyFont="1" applyAlignment="1">
      <alignment horizontal="center"/>
    </xf>
    <xf numFmtId="0" fontId="7" fillId="0" borderId="0" xfId="0" applyFont="1" applyAlignment="1">
      <alignment horizontal="right"/>
    </xf>
    <xf numFmtId="3" fontId="3" fillId="0" borderId="2" xfId="0" applyNumberFormat="1" applyFont="1" applyFill="1" applyBorder="1" applyAlignment="1">
      <alignment horizontal="center"/>
    </xf>
    <xf numFmtId="3" fontId="13" fillId="0" borderId="0" xfId="0" applyNumberFormat="1" applyFont="1" applyBorder="1" applyAlignment="1">
      <alignment horizontal="justify" vertical="top" wrapText="1"/>
    </xf>
    <xf numFmtId="0" fontId="27" fillId="0" borderId="0" xfId="0" applyFont="1" applyFill="1" applyAlignment="1">
      <alignment/>
    </xf>
    <xf numFmtId="0" fontId="3" fillId="0" borderId="2" xfId="0" applyFont="1" applyFill="1" applyBorder="1" applyAlignment="1">
      <alignment horizontal="center"/>
    </xf>
    <xf numFmtId="3" fontId="27" fillId="0" borderId="0" xfId="0" applyNumberFormat="1" applyFont="1" applyBorder="1" applyAlignment="1">
      <alignment horizontal="justify" vertical="top" wrapText="1"/>
    </xf>
    <xf numFmtId="3" fontId="3" fillId="0" borderId="0" xfId="0" applyNumberFormat="1" applyFont="1" applyBorder="1" applyAlignment="1">
      <alignment horizontal="right"/>
    </xf>
    <xf numFmtId="16" fontId="3" fillId="0" borderId="6" xfId="0" applyNumberFormat="1" applyFont="1" applyBorder="1" applyAlignment="1" quotePrefix="1">
      <alignment horizontal="center"/>
    </xf>
    <xf numFmtId="3" fontId="3" fillId="0" borderId="6" xfId="0" applyNumberFormat="1" applyFont="1" applyBorder="1" applyAlignment="1">
      <alignment horizontal="center"/>
    </xf>
    <xf numFmtId="0" fontId="11" fillId="0" borderId="2" xfId="0" applyFont="1" applyBorder="1" applyAlignment="1">
      <alignment wrapText="1"/>
    </xf>
    <xf numFmtId="3" fontId="7" fillId="2" borderId="10" xfId="0" applyNumberFormat="1" applyFont="1" applyFill="1" applyBorder="1" applyAlignment="1">
      <alignment horizontal="center"/>
    </xf>
    <xf numFmtId="10" fontId="7" fillId="2" borderId="2" xfId="0" applyNumberFormat="1" applyFont="1" applyFill="1" applyBorder="1" applyAlignment="1">
      <alignment horizontal="right"/>
    </xf>
    <xf numFmtId="10" fontId="7" fillId="0" borderId="2" xfId="0" applyNumberFormat="1" applyFont="1" applyBorder="1" applyAlignment="1">
      <alignment horizontal="right"/>
    </xf>
    <xf numFmtId="3" fontId="7" fillId="2" borderId="10" xfId="0" applyNumberFormat="1" applyFont="1" applyFill="1" applyBorder="1" applyAlignment="1">
      <alignment/>
    </xf>
    <xf numFmtId="3" fontId="35" fillId="0" borderId="0" xfId="0" applyNumberFormat="1" applyFont="1" applyFill="1" applyBorder="1" applyAlignment="1">
      <alignment horizontal="justify" vertical="top" wrapText="1"/>
    </xf>
    <xf numFmtId="0" fontId="35" fillId="0" borderId="0" xfId="0" applyFont="1" applyAlignment="1">
      <alignment vertical="top" wrapText="1"/>
    </xf>
    <xf numFmtId="0" fontId="0" fillId="0" borderId="0" xfId="0" applyAlignment="1">
      <alignment vertical="top" wrapText="1"/>
    </xf>
    <xf numFmtId="0" fontId="27" fillId="0" borderId="0" xfId="0" applyFont="1" applyBorder="1" applyAlignment="1">
      <alignment horizontal="justify" vertical="top" wrapText="1"/>
    </xf>
    <xf numFmtId="0" fontId="35" fillId="0" borderId="0" xfId="0" applyFont="1" applyBorder="1" applyAlignment="1">
      <alignment horizontal="justify" vertical="top" wrapText="1"/>
    </xf>
    <xf numFmtId="0" fontId="3" fillId="0" borderId="1" xfId="0" applyFont="1" applyFill="1" applyBorder="1" applyAlignment="1">
      <alignment horizontal="center"/>
    </xf>
    <xf numFmtId="0" fontId="10" fillId="0" borderId="4" xfId="0" applyFont="1" applyFill="1" applyBorder="1" applyAlignment="1">
      <alignment horizontal="center"/>
    </xf>
    <xf numFmtId="3" fontId="0" fillId="0" borderId="0" xfId="0" applyNumberFormat="1" applyFont="1" applyAlignment="1">
      <alignment/>
    </xf>
    <xf numFmtId="4" fontId="0" fillId="0" borderId="0" xfId="0" applyNumberFormat="1" applyFont="1" applyAlignment="1">
      <alignment/>
    </xf>
    <xf numFmtId="0" fontId="11" fillId="0" borderId="0" xfId="0" applyFont="1" applyBorder="1" applyAlignment="1">
      <alignment wrapText="1"/>
    </xf>
    <xf numFmtId="3" fontId="7" fillId="2" borderId="0" xfId="0" applyNumberFormat="1" applyFont="1" applyFill="1" applyBorder="1" applyAlignment="1">
      <alignment horizontal="center"/>
    </xf>
    <xf numFmtId="10" fontId="7" fillId="2" borderId="0" xfId="0" applyNumberFormat="1" applyFont="1" applyFill="1" applyBorder="1" applyAlignment="1">
      <alignment horizontal="right"/>
    </xf>
    <xf numFmtId="3" fontId="3" fillId="0" borderId="11" xfId="0" applyNumberFormat="1" applyFont="1" applyBorder="1" applyAlignment="1">
      <alignment horizontal="center"/>
    </xf>
    <xf numFmtId="0" fontId="7" fillId="0" borderId="1" xfId="0" applyFont="1" applyBorder="1" applyAlignment="1">
      <alignment/>
    </xf>
    <xf numFmtId="3" fontId="7" fillId="0" borderId="1" xfId="0" applyNumberFormat="1" applyFont="1" applyBorder="1" applyAlignment="1">
      <alignment/>
    </xf>
    <xf numFmtId="10" fontId="7" fillId="0" borderId="1" xfId="0" applyNumberFormat="1" applyFont="1" applyBorder="1" applyAlignment="1">
      <alignment/>
    </xf>
    <xf numFmtId="0" fontId="30" fillId="0" borderId="3" xfId="0" applyFont="1" applyBorder="1" applyAlignment="1">
      <alignment/>
    </xf>
    <xf numFmtId="3" fontId="7" fillId="0" borderId="3" xfId="0" applyNumberFormat="1" applyFont="1" applyBorder="1" applyAlignment="1">
      <alignment/>
    </xf>
    <xf numFmtId="10" fontId="7" fillId="0" borderId="3" xfId="0" applyNumberFormat="1" applyFont="1" applyBorder="1" applyAlignment="1">
      <alignment/>
    </xf>
    <xf numFmtId="0" fontId="7" fillId="0" borderId="4" xfId="0" applyFont="1" applyBorder="1" applyAlignment="1">
      <alignment/>
    </xf>
    <xf numFmtId="0" fontId="7" fillId="0" borderId="3" xfId="0" applyFont="1" applyBorder="1" applyAlignment="1">
      <alignment/>
    </xf>
    <xf numFmtId="3" fontId="7" fillId="0" borderId="12" xfId="0" applyNumberFormat="1" applyFont="1" applyFill="1" applyBorder="1" applyAlignment="1">
      <alignment horizontal="center"/>
    </xf>
    <xf numFmtId="10" fontId="7" fillId="0" borderId="1" xfId="0" applyNumberFormat="1" applyFont="1" applyBorder="1" applyAlignment="1">
      <alignment horizontal="center"/>
    </xf>
    <xf numFmtId="10" fontId="7" fillId="0" borderId="9" xfId="0" applyNumberFormat="1" applyFont="1" applyBorder="1" applyAlignment="1">
      <alignment horizontal="center"/>
    </xf>
    <xf numFmtId="3" fontId="7" fillId="0" borderId="6" xfId="0" applyNumberFormat="1" applyFont="1" applyFill="1" applyBorder="1" applyAlignment="1">
      <alignment horizontal="center"/>
    </xf>
    <xf numFmtId="10" fontId="7" fillId="0" borderId="4" xfId="0" applyNumberFormat="1" applyFont="1" applyBorder="1" applyAlignment="1">
      <alignment horizontal="center"/>
    </xf>
    <xf numFmtId="10" fontId="7" fillId="0" borderId="5" xfId="0" applyNumberFormat="1" applyFont="1" applyBorder="1" applyAlignment="1">
      <alignment horizontal="center"/>
    </xf>
    <xf numFmtId="3" fontId="7" fillId="0" borderId="13" xfId="0" applyNumberFormat="1" applyFont="1" applyFill="1" applyBorder="1" applyAlignment="1">
      <alignment horizontal="right"/>
    </xf>
    <xf numFmtId="10" fontId="7" fillId="0" borderId="3" xfId="0" applyNumberFormat="1" applyFont="1" applyBorder="1" applyAlignment="1">
      <alignment horizontal="center"/>
    </xf>
    <xf numFmtId="10" fontId="7" fillId="0" borderId="14" xfId="0" applyNumberFormat="1" applyFont="1" applyBorder="1" applyAlignment="1">
      <alignment horizontal="center"/>
    </xf>
    <xf numFmtId="175" fontId="7" fillId="0" borderId="0" xfId="17" applyNumberFormat="1" applyFont="1" applyBorder="1" applyAlignment="1">
      <alignment horizontal="right"/>
    </xf>
    <xf numFmtId="3" fontId="7" fillId="0" borderId="0" xfId="0" applyNumberFormat="1" applyFont="1" applyFill="1" applyBorder="1" applyAlignment="1">
      <alignment/>
    </xf>
    <xf numFmtId="0" fontId="3" fillId="0" borderId="6" xfId="0" applyFont="1" applyFill="1" applyBorder="1" applyAlignment="1">
      <alignment horizontal="center"/>
    </xf>
    <xf numFmtId="0" fontId="5" fillId="0" borderId="0" xfId="0" applyFont="1" applyAlignment="1">
      <alignment horizontal="center"/>
    </xf>
    <xf numFmtId="0" fontId="5" fillId="0" borderId="0" xfId="0" applyFont="1" applyAlignment="1">
      <alignment/>
    </xf>
    <xf numFmtId="0" fontId="3" fillId="0" borderId="3" xfId="0" applyFont="1" applyFill="1" applyBorder="1" applyAlignment="1">
      <alignment horizontal="center"/>
    </xf>
    <xf numFmtId="3" fontId="7" fillId="0" borderId="10" xfId="0" applyNumberFormat="1" applyFont="1" applyFill="1" applyBorder="1" applyAlignment="1">
      <alignment horizontal="center"/>
    </xf>
    <xf numFmtId="0" fontId="27" fillId="0" borderId="0" xfId="0" applyFont="1" applyAlignment="1">
      <alignment horizontal="justify" vertical="top" wrapText="1"/>
    </xf>
    <xf numFmtId="10" fontId="13" fillId="0" borderId="0" xfId="0" applyNumberFormat="1" applyFont="1" applyFill="1" applyAlignment="1">
      <alignment/>
    </xf>
    <xf numFmtId="10" fontId="13" fillId="0" borderId="0" xfId="0" applyNumberFormat="1" applyFont="1" applyFill="1" applyBorder="1" applyAlignment="1">
      <alignment horizontal="right"/>
    </xf>
    <xf numFmtId="3" fontId="27" fillId="0" borderId="0" xfId="0" applyNumberFormat="1" applyFont="1" applyBorder="1" applyAlignment="1">
      <alignment horizontal="left"/>
    </xf>
    <xf numFmtId="3" fontId="7" fillId="0" borderId="0" xfId="0" applyNumberFormat="1" applyFont="1" applyFill="1" applyBorder="1" applyAlignment="1">
      <alignment/>
    </xf>
    <xf numFmtId="10" fontId="7" fillId="0" borderId="2" xfId="0" applyNumberFormat="1" applyFont="1" applyFill="1" applyBorder="1" applyAlignment="1">
      <alignment horizontal="right"/>
    </xf>
    <xf numFmtId="3" fontId="7" fillId="0" borderId="10" xfId="0" applyNumberFormat="1" applyFont="1" applyFill="1" applyBorder="1" applyAlignment="1">
      <alignment/>
    </xf>
    <xf numFmtId="0" fontId="10" fillId="0" borderId="3" xfId="0" applyFont="1" applyFill="1" applyBorder="1" applyAlignment="1">
      <alignment horizontal="center"/>
    </xf>
    <xf numFmtId="0" fontId="73" fillId="0" borderId="0" xfId="0" applyFont="1" applyAlignment="1">
      <alignment/>
    </xf>
    <xf numFmtId="0" fontId="8" fillId="0" borderId="0" xfId="0" applyFont="1" applyFill="1" applyBorder="1" applyAlignment="1">
      <alignment horizontal="center"/>
    </xf>
    <xf numFmtId="1" fontId="3" fillId="0" borderId="0" xfId="0" applyNumberFormat="1" applyFont="1" applyBorder="1" applyAlignment="1">
      <alignment horizontal="center"/>
    </xf>
    <xf numFmtId="1" fontId="10" fillId="0" borderId="0" xfId="0" applyNumberFormat="1" applyFont="1" applyBorder="1" applyAlignment="1">
      <alignment horizontal="center"/>
    </xf>
    <xf numFmtId="0" fontId="15" fillId="0" borderId="0" xfId="0" applyFont="1" applyBorder="1" applyAlignment="1">
      <alignment horizontal="center"/>
    </xf>
    <xf numFmtId="1" fontId="3" fillId="0" borderId="8" xfId="0" applyNumberFormat="1" applyFont="1" applyBorder="1" applyAlignment="1">
      <alignment horizontal="center"/>
    </xf>
    <xf numFmtId="4" fontId="4" fillId="0" borderId="0" xfId="0" applyNumberFormat="1" applyFont="1" applyBorder="1" applyAlignment="1">
      <alignment/>
    </xf>
    <xf numFmtId="10" fontId="7" fillId="0" borderId="0" xfId="0" applyNumberFormat="1" applyFont="1" applyBorder="1" applyAlignment="1">
      <alignment/>
    </xf>
    <xf numFmtId="4" fontId="4" fillId="0" borderId="0" xfId="0" applyNumberFormat="1" applyFont="1" applyBorder="1" applyAlignment="1">
      <alignment horizontal="justify" vertical="top" wrapText="1"/>
    </xf>
    <xf numFmtId="0" fontId="3" fillId="0" borderId="5" xfId="0" applyFont="1" applyBorder="1" applyAlignment="1">
      <alignment/>
    </xf>
    <xf numFmtId="3" fontId="3" fillId="0" borderId="2" xfId="0" applyNumberFormat="1" applyFont="1" applyFill="1" applyBorder="1" applyAlignment="1">
      <alignment/>
    </xf>
    <xf numFmtId="10" fontId="3" fillId="0" borderId="2" xfId="21" applyNumberFormat="1" applyFont="1" applyFill="1" applyBorder="1" applyAlignment="1">
      <alignment/>
    </xf>
    <xf numFmtId="10" fontId="3" fillId="0" borderId="2" xfId="0" applyNumberFormat="1" applyFont="1" applyFill="1" applyBorder="1" applyAlignment="1">
      <alignment/>
    </xf>
    <xf numFmtId="10" fontId="3" fillId="0" borderId="0" xfId="0" applyNumberFormat="1" applyFont="1" applyFill="1" applyBorder="1" applyAlignment="1">
      <alignment/>
    </xf>
    <xf numFmtId="10" fontId="0" fillId="0" borderId="0" xfId="0" applyNumberFormat="1" applyBorder="1" applyAlignment="1">
      <alignment/>
    </xf>
    <xf numFmtId="0" fontId="74" fillId="0" borderId="0" xfId="0" applyFont="1" applyAlignment="1">
      <alignment/>
    </xf>
    <xf numFmtId="4" fontId="7" fillId="0" borderId="0" xfId="0" applyNumberFormat="1" applyFont="1" applyBorder="1" applyAlignment="1">
      <alignment/>
    </xf>
    <xf numFmtId="4" fontId="3" fillId="0" borderId="0" xfId="0" applyNumberFormat="1" applyFont="1" applyBorder="1" applyAlignment="1" quotePrefix="1">
      <alignment horizontal="right"/>
    </xf>
    <xf numFmtId="4" fontId="7" fillId="0" borderId="0" xfId="0" applyNumberFormat="1" applyFont="1" applyBorder="1" applyAlignment="1" quotePrefix="1">
      <alignment horizontal="right"/>
    </xf>
    <xf numFmtId="4" fontId="3" fillId="0" borderId="0" xfId="0" applyNumberFormat="1" applyFont="1" applyBorder="1" applyAlignment="1">
      <alignment/>
    </xf>
    <xf numFmtId="1" fontId="3" fillId="0" borderId="8" xfId="0" applyNumberFormat="1" applyFont="1" applyFill="1" applyBorder="1" applyAlignment="1">
      <alignment horizontal="center"/>
    </xf>
    <xf numFmtId="3" fontId="7" fillId="0" borderId="0" xfId="0" applyNumberFormat="1" applyFont="1" applyFill="1" applyBorder="1" applyAlignment="1" applyProtection="1">
      <alignment vertical="center"/>
      <protection/>
    </xf>
    <xf numFmtId="4" fontId="7" fillId="0" borderId="0" xfId="0" applyNumberFormat="1" applyFont="1" applyFill="1" applyBorder="1" applyAlignment="1">
      <alignment/>
    </xf>
    <xf numFmtId="3" fontId="7" fillId="0" borderId="7" xfId="0" applyNumberFormat="1" applyFont="1" applyFill="1" applyBorder="1" applyAlignment="1">
      <alignment/>
    </xf>
    <xf numFmtId="10" fontId="7" fillId="0" borderId="7" xfId="0" applyNumberFormat="1" applyFont="1" applyBorder="1" applyAlignment="1">
      <alignment/>
    </xf>
    <xf numFmtId="3" fontId="35" fillId="0" borderId="0" xfId="0" applyNumberFormat="1" applyFont="1" applyFill="1" applyBorder="1" applyAlignment="1">
      <alignment horizontal="left"/>
    </xf>
    <xf numFmtId="0" fontId="0" fillId="0" borderId="0" xfId="0" applyFill="1" applyBorder="1" applyAlignment="1">
      <alignment/>
    </xf>
    <xf numFmtId="3" fontId="3" fillId="0" borderId="0" xfId="0" applyNumberFormat="1" applyFont="1" applyFill="1" applyBorder="1" applyAlignment="1">
      <alignment/>
    </xf>
    <xf numFmtId="10" fontId="7" fillId="0" borderId="0" xfId="21" applyNumberFormat="1" applyFont="1" applyAlignment="1">
      <alignment/>
    </xf>
    <xf numFmtId="10" fontId="3" fillId="0" borderId="0" xfId="21" applyNumberFormat="1" applyFont="1" applyAlignment="1">
      <alignment/>
    </xf>
    <xf numFmtId="3" fontId="3" fillId="0" borderId="0" xfId="0" applyNumberFormat="1" applyFont="1" applyFill="1" applyAlignment="1">
      <alignment/>
    </xf>
    <xf numFmtId="10" fontId="3" fillId="0" borderId="0" xfId="0" applyNumberFormat="1" applyFont="1" applyAlignment="1">
      <alignment/>
    </xf>
    <xf numFmtId="3" fontId="3" fillId="0" borderId="0" xfId="0" applyNumberFormat="1" applyFont="1" applyAlignment="1">
      <alignment/>
    </xf>
    <xf numFmtId="0" fontId="4" fillId="0" borderId="0" xfId="0" applyFont="1" applyBorder="1" applyAlignment="1">
      <alignment horizontal="justify" vertical="top" wrapText="1"/>
    </xf>
    <xf numFmtId="10" fontId="7" fillId="0" borderId="0" xfId="21" applyNumberFormat="1" applyFont="1" applyFill="1" applyAlignment="1">
      <alignment/>
    </xf>
    <xf numFmtId="4" fontId="38" fillId="0" borderId="0" xfId="0" applyNumberFormat="1" applyFont="1" applyBorder="1" applyAlignment="1">
      <alignment/>
    </xf>
    <xf numFmtId="0" fontId="83" fillId="0" borderId="0" xfId="0" applyFont="1" applyBorder="1" applyAlignment="1">
      <alignment/>
    </xf>
    <xf numFmtId="0" fontId="84" fillId="0" borderId="0" xfId="0" applyFont="1" applyBorder="1" applyAlignment="1">
      <alignment/>
    </xf>
    <xf numFmtId="3" fontId="7" fillId="0" borderId="0" xfId="0" applyNumberFormat="1" applyFont="1" applyBorder="1" applyAlignment="1" quotePrefix="1">
      <alignment horizontal="right"/>
    </xf>
    <xf numFmtId="0" fontId="7" fillId="0" borderId="0" xfId="0" applyFont="1" applyAlignment="1">
      <alignment horizontal="justify" vertical="top" wrapText="1"/>
    </xf>
    <xf numFmtId="167" fontId="0" fillId="0" borderId="0" xfId="0" applyNumberFormat="1" applyAlignment="1">
      <alignment/>
    </xf>
    <xf numFmtId="0" fontId="15" fillId="0" borderId="0" xfId="0" applyFont="1" applyAlignment="1">
      <alignment/>
    </xf>
    <xf numFmtId="167" fontId="15" fillId="0" borderId="0" xfId="0" applyNumberFormat="1" applyFont="1" applyAlignment="1">
      <alignment/>
    </xf>
    <xf numFmtId="10" fontId="15" fillId="0" borderId="0" xfId="0" applyNumberFormat="1" applyFont="1" applyAlignment="1">
      <alignment/>
    </xf>
    <xf numFmtId="0" fontId="13" fillId="0" borderId="0" xfId="0" applyFont="1" applyBorder="1" applyAlignment="1">
      <alignment horizontal="justify" vertical="top" wrapText="1"/>
    </xf>
    <xf numFmtId="3" fontId="7" fillId="0" borderId="0" xfId="0" applyNumberFormat="1" applyFont="1" applyBorder="1" applyAlignment="1" quotePrefix="1">
      <alignment horizontal="right" vertical="top"/>
    </xf>
    <xf numFmtId="3" fontId="7" fillId="0" borderId="0" xfId="0" applyNumberFormat="1" applyFont="1" applyBorder="1" applyAlignment="1">
      <alignment vertical="top"/>
    </xf>
    <xf numFmtId="10" fontId="7" fillId="0" borderId="0" xfId="0" applyNumberFormat="1" applyFont="1" applyBorder="1" applyAlignment="1">
      <alignment vertical="top"/>
    </xf>
    <xf numFmtId="3" fontId="3" fillId="0" borderId="0" xfId="0" applyNumberFormat="1" applyFont="1" applyFill="1" applyBorder="1" applyAlignment="1" quotePrefix="1">
      <alignment horizontal="right"/>
    </xf>
    <xf numFmtId="168" fontId="7" fillId="0" borderId="0" xfId="17" applyNumberFormat="1" applyFont="1" applyBorder="1" applyAlignment="1">
      <alignment/>
    </xf>
    <xf numFmtId="43" fontId="7" fillId="0" borderId="0" xfId="17" applyFont="1" applyBorder="1" applyAlignment="1">
      <alignment/>
    </xf>
    <xf numFmtId="3" fontId="7" fillId="0" borderId="0" xfId="17" applyNumberFormat="1" applyFont="1" applyBorder="1" applyAlignment="1" quotePrefix="1">
      <alignment horizontal="right"/>
    </xf>
    <xf numFmtId="3" fontId="7" fillId="0" borderId="0" xfId="17" applyNumberFormat="1" applyFont="1" applyBorder="1" applyAlignment="1">
      <alignment/>
    </xf>
    <xf numFmtId="3" fontId="3" fillId="0" borderId="0" xfId="17" applyNumberFormat="1" applyFont="1" applyBorder="1" applyAlignment="1">
      <alignment/>
    </xf>
    <xf numFmtId="10" fontId="7" fillId="0" borderId="0" xfId="0" applyNumberFormat="1" applyFont="1" applyFill="1" applyBorder="1" applyAlignment="1">
      <alignment/>
    </xf>
    <xf numFmtId="10" fontId="3" fillId="0" borderId="2" xfId="0" applyNumberFormat="1" applyFont="1" applyFill="1" applyBorder="1" applyAlignment="1" quotePrefix="1">
      <alignment horizontal="right"/>
    </xf>
    <xf numFmtId="167" fontId="7" fillId="0" borderId="0" xfId="0" applyNumberFormat="1" applyFont="1" applyBorder="1" applyAlignment="1">
      <alignment/>
    </xf>
    <xf numFmtId="3" fontId="3" fillId="0" borderId="0" xfId="0" applyNumberFormat="1" applyFont="1" applyBorder="1" applyAlignment="1" quotePrefix="1">
      <alignment horizontal="right"/>
    </xf>
    <xf numFmtId="4" fontId="4" fillId="0" borderId="0" xfId="0" applyNumberFormat="1" applyFont="1" applyFill="1" applyBorder="1" applyAlignment="1">
      <alignment/>
    </xf>
    <xf numFmtId="3" fontId="13" fillId="0" borderId="0" xfId="0" applyNumberFormat="1" applyFont="1" applyBorder="1" applyAlignment="1">
      <alignment/>
    </xf>
    <xf numFmtId="10" fontId="13" fillId="0" borderId="0" xfId="0" applyNumberFormat="1" applyFont="1" applyBorder="1" applyAlignment="1">
      <alignment/>
    </xf>
    <xf numFmtId="10" fontId="11" fillId="0" borderId="0" xfId="0" applyNumberFormat="1" applyFont="1" applyBorder="1" applyAlignment="1">
      <alignment/>
    </xf>
    <xf numFmtId="4" fontId="0" fillId="0" borderId="0" xfId="0" applyNumberFormat="1" applyBorder="1" applyAlignment="1">
      <alignment/>
    </xf>
    <xf numFmtId="0" fontId="7" fillId="0" borderId="0" xfId="0" applyFont="1" applyFill="1" applyAlignment="1">
      <alignment/>
    </xf>
    <xf numFmtId="10" fontId="7" fillId="0" borderId="0" xfId="0" applyNumberFormat="1" applyFont="1" applyAlignment="1" quotePrefix="1">
      <alignment horizontal="right"/>
    </xf>
    <xf numFmtId="3" fontId="3" fillId="0" borderId="2" xfId="0" applyNumberFormat="1" applyFont="1" applyBorder="1" applyAlignment="1">
      <alignment/>
    </xf>
    <xf numFmtId="0" fontId="6" fillId="0" borderId="0" xfId="0" applyFont="1" applyFill="1" applyBorder="1" applyAlignment="1">
      <alignment horizontal="center" wrapText="1"/>
    </xf>
    <xf numFmtId="0" fontId="10" fillId="0" borderId="0" xfId="0" applyFont="1" applyAlignment="1">
      <alignment horizontal="center"/>
    </xf>
    <xf numFmtId="0" fontId="10" fillId="0" borderId="0" xfId="0" applyFont="1" applyAlignment="1">
      <alignment/>
    </xf>
    <xf numFmtId="0" fontId="11" fillId="0" borderId="1" xfId="0" applyFont="1" applyBorder="1" applyAlignment="1">
      <alignment horizontal="center" wrapText="1"/>
    </xf>
    <xf numFmtId="0" fontId="97" fillId="0" borderId="3" xfId="0" applyFont="1" applyBorder="1" applyAlignment="1">
      <alignment horizontal="center" wrapText="1"/>
    </xf>
    <xf numFmtId="2" fontId="7" fillId="0" borderId="0" xfId="0" applyNumberFormat="1" applyFont="1" applyBorder="1" applyAlignment="1" quotePrefix="1">
      <alignment horizontal="center"/>
    </xf>
    <xf numFmtId="2" fontId="7" fillId="0" borderId="7" xfId="0" applyNumberFormat="1" applyFont="1" applyBorder="1" applyAlignment="1">
      <alignment horizontal="center"/>
    </xf>
    <xf numFmtId="0" fontId="0" fillId="0" borderId="0" xfId="0" applyAlignment="1" quotePrefix="1">
      <alignment horizontal="center"/>
    </xf>
    <xf numFmtId="2" fontId="7" fillId="0" borderId="8" xfId="0" applyNumberFormat="1" applyFont="1" applyBorder="1" applyAlignment="1">
      <alignment horizontal="center"/>
    </xf>
    <xf numFmtId="0" fontId="1" fillId="0" borderId="1" xfId="0" applyFont="1" applyFill="1" applyBorder="1" applyAlignment="1">
      <alignment/>
    </xf>
    <xf numFmtId="2" fontId="3" fillId="0" borderId="1" xfId="0" applyNumberFormat="1" applyFont="1" applyFill="1" applyBorder="1" applyAlignment="1">
      <alignment horizontal="center"/>
    </xf>
    <xf numFmtId="2" fontId="3" fillId="0" borderId="1" xfId="0" applyNumberFormat="1" applyFont="1" applyFill="1" applyBorder="1" applyAlignment="1" quotePrefix="1">
      <alignment horizontal="center"/>
    </xf>
    <xf numFmtId="0" fontId="2" fillId="0" borderId="3" xfId="0" applyFont="1" applyFill="1" applyBorder="1" applyAlignment="1">
      <alignment/>
    </xf>
    <xf numFmtId="4" fontId="3" fillId="0" borderId="3" xfId="0" applyNumberFormat="1" applyFont="1" applyFill="1" applyBorder="1" applyAlignment="1">
      <alignment horizontal="center"/>
    </xf>
    <xf numFmtId="0" fontId="13" fillId="0" borderId="0" xfId="0" applyFont="1" applyAlignment="1">
      <alignment wrapText="1"/>
    </xf>
    <xf numFmtId="2" fontId="13" fillId="0" borderId="0" xfId="0" applyNumberFormat="1" applyFont="1" applyBorder="1" applyAlignment="1">
      <alignment/>
    </xf>
    <xf numFmtId="0" fontId="10" fillId="0" borderId="0" xfId="0" applyFont="1" applyFill="1" applyAlignment="1">
      <alignment horizontal="center"/>
    </xf>
    <xf numFmtId="2" fontId="7" fillId="0" borderId="0" xfId="0" applyNumberFormat="1" applyFont="1" applyFill="1" applyBorder="1" applyAlignment="1" quotePrefix="1">
      <alignment horizontal="center"/>
    </xf>
    <xf numFmtId="2" fontId="7" fillId="0" borderId="0" xfId="0" applyNumberFormat="1" applyFont="1" applyFill="1" applyBorder="1" applyAlignment="1">
      <alignment horizontal="center"/>
    </xf>
    <xf numFmtId="2" fontId="4" fillId="0" borderId="0" xfId="0" applyNumberFormat="1" applyFont="1" applyBorder="1" applyAlignment="1">
      <alignment horizontal="center"/>
    </xf>
    <xf numFmtId="2" fontId="3" fillId="0" borderId="1" xfId="0" applyNumberFormat="1" applyFont="1" applyBorder="1" applyAlignment="1" quotePrefix="1">
      <alignment horizontal="center"/>
    </xf>
    <xf numFmtId="2" fontId="3" fillId="0" borderId="1" xfId="0" applyNumberFormat="1" applyFont="1" applyBorder="1" applyAlignment="1">
      <alignment horizontal="center"/>
    </xf>
    <xf numFmtId="0" fontId="13" fillId="0" borderId="0" xfId="0" applyFont="1" applyBorder="1" applyAlignment="1">
      <alignment horizontal="justify" vertical="top"/>
    </xf>
    <xf numFmtId="2" fontId="98" fillId="0" borderId="0" xfId="0" applyNumberFormat="1" applyFont="1" applyBorder="1" applyAlignment="1">
      <alignment horizontal="center"/>
    </xf>
    <xf numFmtId="0" fontId="3" fillId="0" borderId="1" xfId="0" applyFont="1" applyFill="1" applyBorder="1" applyAlignment="1" quotePrefix="1">
      <alignment horizontal="center"/>
    </xf>
    <xf numFmtId="0" fontId="74" fillId="0" borderId="3" xfId="0" applyFont="1" applyFill="1" applyBorder="1" applyAlignment="1">
      <alignment horizontal="center"/>
    </xf>
    <xf numFmtId="2" fontId="7" fillId="0" borderId="0" xfId="21" applyNumberFormat="1" applyFont="1" applyBorder="1" applyAlignment="1">
      <alignment horizontal="center"/>
    </xf>
    <xf numFmtId="0" fontId="97" fillId="0" borderId="0" xfId="0" applyFont="1" applyBorder="1" applyAlignment="1">
      <alignment/>
    </xf>
    <xf numFmtId="4" fontId="7" fillId="0" borderId="0" xfId="0" applyNumberFormat="1" applyFont="1" applyAlignment="1" quotePrefix="1">
      <alignment horizontal="center"/>
    </xf>
    <xf numFmtId="0" fontId="7" fillId="0" borderId="3" xfId="0" applyFont="1" applyFill="1" applyBorder="1" applyAlignment="1">
      <alignment horizontal="center"/>
    </xf>
    <xf numFmtId="2" fontId="7" fillId="0" borderId="3" xfId="0" applyNumberFormat="1" applyFont="1" applyFill="1" applyBorder="1" applyAlignment="1">
      <alignment horizontal="center"/>
    </xf>
    <xf numFmtId="0" fontId="2" fillId="0" borderId="0" xfId="0" applyFont="1" applyFill="1" applyBorder="1" applyAlignment="1">
      <alignment/>
    </xf>
    <xf numFmtId="0" fontId="99" fillId="0" borderId="0" xfId="0" applyFont="1" applyAlignment="1">
      <alignment/>
    </xf>
    <xf numFmtId="4" fontId="3" fillId="0" borderId="1" xfId="0" applyNumberFormat="1" applyFont="1" applyFill="1" applyBorder="1" applyAlignment="1" quotePrefix="1">
      <alignment horizontal="center"/>
    </xf>
    <xf numFmtId="4" fontId="7" fillId="0" borderId="3" xfId="0" applyNumberFormat="1" applyFont="1" applyFill="1" applyBorder="1" applyAlignment="1">
      <alignment horizontal="center"/>
    </xf>
    <xf numFmtId="10" fontId="3" fillId="0" borderId="1" xfId="0" applyNumberFormat="1" applyFont="1" applyFill="1" applyBorder="1" applyAlignment="1">
      <alignment horizontal="center"/>
    </xf>
    <xf numFmtId="10" fontId="3" fillId="0" borderId="1" xfId="0" applyNumberFormat="1" applyFont="1" applyFill="1" applyBorder="1" applyAlignment="1" quotePrefix="1">
      <alignment horizontal="center"/>
    </xf>
    <xf numFmtId="0" fontId="13" fillId="0" borderId="0" xfId="0" applyFont="1" applyAlignment="1">
      <alignment horizontal="justify" vertical="top" wrapText="1"/>
    </xf>
    <xf numFmtId="10" fontId="7" fillId="0" borderId="0" xfId="0" applyNumberFormat="1" applyFont="1" applyBorder="1" applyAlignment="1" quotePrefix="1">
      <alignment horizontal="center"/>
    </xf>
    <xf numFmtId="0" fontId="11" fillId="0" borderId="0" xfId="0" applyFont="1" applyBorder="1" applyAlignment="1">
      <alignment/>
    </xf>
    <xf numFmtId="2" fontId="7" fillId="0" borderId="0" xfId="21" applyNumberFormat="1" applyFont="1" applyFill="1" applyBorder="1" applyAlignment="1">
      <alignment horizontal="center"/>
    </xf>
    <xf numFmtId="2" fontId="7" fillId="0" borderId="0" xfId="21" applyNumberFormat="1" applyFont="1" applyBorder="1" applyAlignment="1" quotePrefix="1">
      <alignment horizontal="center"/>
    </xf>
    <xf numFmtId="2" fontId="7" fillId="0" borderId="0" xfId="21" applyNumberFormat="1" applyFont="1" applyFill="1" applyBorder="1" applyAlignment="1" quotePrefix="1">
      <alignment horizontal="center"/>
    </xf>
    <xf numFmtId="177" fontId="7" fillId="0" borderId="0" xfId="0" applyNumberFormat="1" applyFont="1" applyBorder="1" applyAlignment="1" quotePrefix="1">
      <alignment horizontal="center"/>
    </xf>
    <xf numFmtId="187" fontId="7" fillId="0" borderId="0" xfId="0" applyNumberFormat="1" applyFont="1" applyBorder="1" applyAlignment="1">
      <alignment horizontal="center"/>
    </xf>
    <xf numFmtId="187" fontId="7" fillId="0" borderId="0" xfId="0" applyNumberFormat="1" applyFont="1" applyBorder="1" applyAlignment="1" quotePrefix="1">
      <alignment horizontal="center"/>
    </xf>
    <xf numFmtId="177" fontId="4" fillId="0" borderId="0" xfId="0" applyNumberFormat="1" applyFont="1" applyFill="1" applyBorder="1" applyAlignment="1">
      <alignment/>
    </xf>
    <xf numFmtId="0" fontId="4" fillId="0" borderId="0" xfId="0" applyFont="1" applyFill="1" applyBorder="1" applyAlignment="1">
      <alignment/>
    </xf>
    <xf numFmtId="3" fontId="3" fillId="0" borderId="0" xfId="0" applyNumberFormat="1" applyFont="1" applyBorder="1" applyAlignment="1">
      <alignment horizontal="left"/>
    </xf>
    <xf numFmtId="0" fontId="35" fillId="3" borderId="2" xfId="0" applyFont="1" applyFill="1" applyBorder="1" applyAlignment="1">
      <alignment horizontal="center"/>
    </xf>
    <xf numFmtId="0" fontId="13" fillId="0" borderId="2" xfId="0" applyFont="1" applyBorder="1" applyAlignment="1">
      <alignment/>
    </xf>
    <xf numFmtId="10" fontId="13" fillId="0" borderId="2" xfId="0" applyNumberFormat="1" applyFont="1" applyBorder="1" applyAlignment="1">
      <alignment horizontal="right"/>
    </xf>
    <xf numFmtId="0" fontId="13" fillId="0" borderId="4" xfId="0" applyFont="1" applyBorder="1" applyAlignment="1">
      <alignment/>
    </xf>
    <xf numFmtId="10" fontId="13" fillId="0" borderId="2" xfId="0" applyNumberFormat="1" applyFont="1" applyBorder="1" applyAlignment="1">
      <alignment horizontal="right" vertical="center"/>
    </xf>
    <xf numFmtId="0" fontId="13" fillId="0" borderId="10" xfId="0" applyFont="1" applyBorder="1" applyAlignment="1">
      <alignment/>
    </xf>
    <xf numFmtId="0" fontId="13" fillId="0" borderId="6" xfId="0" applyFont="1" applyBorder="1" applyAlignment="1">
      <alignment/>
    </xf>
    <xf numFmtId="10" fontId="13" fillId="0" borderId="4" xfId="0" applyNumberFormat="1" applyFont="1" applyBorder="1" applyAlignment="1">
      <alignment horizontal="right" vertical="center"/>
    </xf>
    <xf numFmtId="0" fontId="4" fillId="0" borderId="2" xfId="0" applyFont="1" applyBorder="1" applyAlignment="1">
      <alignment/>
    </xf>
    <xf numFmtId="0" fontId="13" fillId="0" borderId="2" xfId="0" applyFont="1" applyBorder="1" applyAlignment="1">
      <alignment horizontal="justify" vertical="top" wrapText="1"/>
    </xf>
    <xf numFmtId="0" fontId="1" fillId="0" borderId="2" xfId="0" applyFont="1" applyBorder="1" applyAlignment="1">
      <alignment/>
    </xf>
    <xf numFmtId="10" fontId="11" fillId="0" borderId="2" xfId="0" applyNumberFormat="1" applyFont="1" applyBorder="1" applyAlignment="1">
      <alignment horizontal="right"/>
    </xf>
    <xf numFmtId="0" fontId="11" fillId="0" borderId="2" xfId="0" applyFont="1" applyBorder="1" applyAlignment="1">
      <alignment/>
    </xf>
    <xf numFmtId="0" fontId="11" fillId="0" borderId="2" xfId="0" applyFont="1" applyBorder="1" applyAlignment="1">
      <alignment horizontal="justify" vertical="top" wrapText="1"/>
    </xf>
    <xf numFmtId="0" fontId="1" fillId="0" borderId="7" xfId="0" applyFont="1" applyBorder="1" applyAlignment="1">
      <alignment/>
    </xf>
    <xf numFmtId="10" fontId="11" fillId="0" borderId="7" xfId="0" applyNumberFormat="1" applyFont="1" applyBorder="1" applyAlignment="1">
      <alignment horizontal="right"/>
    </xf>
    <xf numFmtId="0" fontId="11" fillId="0" borderId="7" xfId="0" applyFont="1" applyBorder="1" applyAlignment="1">
      <alignment/>
    </xf>
    <xf numFmtId="0" fontId="11" fillId="0" borderId="7" xfId="0" applyFont="1" applyBorder="1" applyAlignment="1">
      <alignment horizontal="justify" vertical="top" wrapText="1"/>
    </xf>
    <xf numFmtId="0" fontId="4" fillId="0" borderId="8" xfId="0" applyFont="1" applyBorder="1" applyAlignment="1">
      <alignment/>
    </xf>
    <xf numFmtId="10" fontId="13" fillId="0" borderId="8" xfId="0" applyNumberFormat="1" applyFont="1" applyBorder="1" applyAlignment="1">
      <alignment horizontal="right" vertical="center"/>
    </xf>
    <xf numFmtId="0" fontId="13" fillId="0" borderId="8" xfId="0" applyFont="1" applyBorder="1" applyAlignment="1">
      <alignment/>
    </xf>
    <xf numFmtId="0" fontId="27" fillId="3" borderId="2" xfId="0" applyFont="1" applyFill="1" applyBorder="1" applyAlignment="1">
      <alignment horizontal="center"/>
    </xf>
    <xf numFmtId="185" fontId="13" fillId="0" borderId="2" xfId="0" applyNumberFormat="1" applyFont="1" applyBorder="1" applyAlignment="1">
      <alignment horizontal="right"/>
    </xf>
    <xf numFmtId="10" fontId="13" fillId="0" borderId="2" xfId="0" applyNumberFormat="1" applyFont="1" applyBorder="1" applyAlignment="1">
      <alignment horizontal="left"/>
    </xf>
    <xf numFmtId="0" fontId="13" fillId="0" borderId="12" xfId="0" applyFont="1" applyBorder="1" applyAlignment="1">
      <alignment/>
    </xf>
    <xf numFmtId="10" fontId="13" fillId="0" borderId="1" xfId="0" applyNumberFormat="1" applyFont="1" applyBorder="1" applyAlignment="1">
      <alignment horizontal="right" vertical="center"/>
    </xf>
    <xf numFmtId="0" fontId="13" fillId="0" borderId="13" xfId="0" applyFont="1" applyBorder="1" applyAlignment="1">
      <alignment/>
    </xf>
    <xf numFmtId="10" fontId="13" fillId="0" borderId="3" xfId="0" applyNumberFormat="1" applyFont="1" applyBorder="1" applyAlignment="1">
      <alignment horizontal="right"/>
    </xf>
    <xf numFmtId="0" fontId="0" fillId="0" borderId="2" xfId="0" applyBorder="1" applyAlignment="1">
      <alignment/>
    </xf>
    <xf numFmtId="10" fontId="11" fillId="0" borderId="0" xfId="0" applyNumberFormat="1" applyFont="1" applyBorder="1" applyAlignment="1">
      <alignment horizontal="right"/>
    </xf>
    <xf numFmtId="0" fontId="11" fillId="0" borderId="0" xfId="0" applyFont="1" applyBorder="1" applyAlignment="1">
      <alignment horizontal="justify" vertical="top" wrapText="1"/>
    </xf>
    <xf numFmtId="10" fontId="13" fillId="0" borderId="2" xfId="0" applyNumberFormat="1" applyFont="1" applyBorder="1" applyAlignment="1">
      <alignment horizontal="right" vertical="top"/>
    </xf>
    <xf numFmtId="10" fontId="0" fillId="0" borderId="2" xfId="0" applyNumberFormat="1" applyBorder="1" applyAlignment="1">
      <alignment/>
    </xf>
    <xf numFmtId="10" fontId="13" fillId="0" borderId="2" xfId="0" applyNumberFormat="1" applyFont="1" applyFill="1" applyBorder="1" applyAlignment="1">
      <alignment horizontal="right"/>
    </xf>
    <xf numFmtId="0" fontId="13" fillId="0" borderId="2" xfId="0" applyFont="1" applyFill="1" applyBorder="1" applyAlignment="1">
      <alignment/>
    </xf>
    <xf numFmtId="0" fontId="13" fillId="0" borderId="10" xfId="0" applyFont="1" applyFill="1" applyBorder="1" applyAlignment="1">
      <alignment horizontal="justify" vertical="top" wrapText="1"/>
    </xf>
    <xf numFmtId="0" fontId="13" fillId="0" borderId="2" xfId="0" applyFont="1" applyFill="1" applyBorder="1" applyAlignment="1">
      <alignment horizontal="justify" vertical="top" wrapText="1"/>
    </xf>
    <xf numFmtId="10" fontId="13" fillId="0" borderId="2" xfId="0" applyNumberFormat="1" applyFont="1" applyFill="1" applyBorder="1" applyAlignment="1">
      <alignment horizontal="right" vertical="center"/>
    </xf>
    <xf numFmtId="2" fontId="13" fillId="0" borderId="2" xfId="0" applyNumberFormat="1" applyFont="1" applyFill="1" applyBorder="1" applyAlignment="1">
      <alignment horizontal="center"/>
    </xf>
    <xf numFmtId="0" fontId="11" fillId="0" borderId="2" xfId="0" applyFont="1" applyFill="1" applyBorder="1" applyAlignment="1">
      <alignment/>
    </xf>
    <xf numFmtId="10" fontId="11" fillId="0" borderId="2" xfId="0" applyNumberFormat="1" applyFont="1" applyFill="1" applyBorder="1" applyAlignment="1">
      <alignment/>
    </xf>
    <xf numFmtId="0" fontId="13" fillId="0" borderId="10" xfId="0" applyFont="1" applyBorder="1" applyAlignment="1">
      <alignment horizontal="justify" vertical="top" wrapText="1"/>
    </xf>
    <xf numFmtId="0" fontId="13" fillId="0" borderId="2" xfId="0" applyFont="1" applyBorder="1" applyAlignment="1">
      <alignment vertical="center" wrapText="1"/>
    </xf>
    <xf numFmtId="10" fontId="13" fillId="0" borderId="2" xfId="0" applyNumberFormat="1" applyFont="1" applyBorder="1" applyAlignment="1">
      <alignment horizontal="right" vertical="center" wrapText="1"/>
    </xf>
    <xf numFmtId="10" fontId="13" fillId="0" borderId="4" xfId="0" applyNumberFormat="1" applyFont="1" applyBorder="1" applyAlignment="1">
      <alignment horizontal="right"/>
    </xf>
    <xf numFmtId="0" fontId="11" fillId="0" borderId="2" xfId="0" applyFont="1" applyBorder="1" applyAlignment="1">
      <alignment vertical="center" wrapText="1"/>
    </xf>
    <xf numFmtId="10" fontId="11" fillId="0" borderId="2" xfId="0" applyNumberFormat="1" applyFont="1" applyBorder="1" applyAlignment="1">
      <alignment horizontal="right" vertical="center" wrapText="1"/>
    </xf>
    <xf numFmtId="0" fontId="11" fillId="0" borderId="0" xfId="0" applyFont="1" applyBorder="1" applyAlignment="1">
      <alignment vertical="center" wrapText="1"/>
    </xf>
    <xf numFmtId="10" fontId="11" fillId="0" borderId="0" xfId="0" applyNumberFormat="1" applyFont="1" applyBorder="1" applyAlignment="1">
      <alignment horizontal="right" vertical="center" wrapText="1"/>
    </xf>
    <xf numFmtId="2" fontId="4" fillId="0" borderId="0" xfId="0" applyNumberFormat="1" applyFont="1" applyBorder="1" applyAlignment="1">
      <alignment/>
    </xf>
    <xf numFmtId="10" fontId="13" fillId="0" borderId="0" xfId="0" applyNumberFormat="1" applyFont="1" applyBorder="1" applyAlignment="1">
      <alignment horizontal="center"/>
    </xf>
    <xf numFmtId="10" fontId="13" fillId="0" borderId="2" xfId="0" applyNumberFormat="1" applyFont="1" applyBorder="1" applyAlignment="1">
      <alignment/>
    </xf>
    <xf numFmtId="10" fontId="13" fillId="0" borderId="0" xfId="0" applyNumberFormat="1" applyFont="1" applyBorder="1" applyAlignment="1">
      <alignment/>
    </xf>
    <xf numFmtId="0" fontId="11" fillId="0" borderId="10" xfId="0" applyFont="1" applyBorder="1" applyAlignment="1">
      <alignment/>
    </xf>
    <xf numFmtId="10" fontId="11" fillId="0" borderId="2" xfId="0" applyNumberFormat="1" applyFont="1" applyBorder="1" applyAlignment="1">
      <alignment horizontal="right" vertical="center"/>
    </xf>
    <xf numFmtId="10" fontId="11" fillId="0" borderId="0" xfId="0" applyNumberFormat="1" applyFont="1" applyBorder="1" applyAlignment="1">
      <alignment horizontal="right" vertical="center"/>
    </xf>
    <xf numFmtId="0" fontId="13" fillId="0" borderId="2" xfId="0" applyFont="1" applyFill="1" applyBorder="1" applyAlignment="1">
      <alignment vertical="center" wrapText="1"/>
    </xf>
    <xf numFmtId="10" fontId="13" fillId="0" borderId="2" xfId="0" applyNumberFormat="1" applyFont="1" applyFill="1" applyBorder="1" applyAlignment="1">
      <alignment horizontal="right" vertical="center" wrapText="1"/>
    </xf>
    <xf numFmtId="10" fontId="13" fillId="0" borderId="2" xfId="21" applyNumberFormat="1" applyFont="1" applyBorder="1" applyAlignment="1">
      <alignment/>
    </xf>
    <xf numFmtId="0" fontId="13" fillId="2" borderId="3" xfId="0" applyFont="1" applyFill="1" applyBorder="1" applyAlignment="1">
      <alignment horizontal="left" wrapText="1"/>
    </xf>
    <xf numFmtId="10" fontId="13" fillId="2" borderId="14" xfId="0" applyNumberFormat="1" applyFont="1" applyFill="1" applyBorder="1" applyAlignment="1">
      <alignment horizontal="right" wrapText="1"/>
    </xf>
    <xf numFmtId="0" fontId="13" fillId="2" borderId="2" xfId="0" applyFont="1" applyFill="1" applyBorder="1" applyAlignment="1">
      <alignment horizontal="left" wrapText="1"/>
    </xf>
    <xf numFmtId="10" fontId="13" fillId="2" borderId="2" xfId="0" applyNumberFormat="1" applyFont="1" applyFill="1" applyBorder="1" applyAlignment="1">
      <alignment horizontal="right" wrapText="1"/>
    </xf>
    <xf numFmtId="0" fontId="11" fillId="2" borderId="2" xfId="0" applyFont="1" applyFill="1" applyBorder="1" applyAlignment="1">
      <alignment horizontal="left" wrapText="1"/>
    </xf>
    <xf numFmtId="10" fontId="11" fillId="2" borderId="2" xfId="0" applyNumberFormat="1" applyFont="1" applyFill="1" applyBorder="1" applyAlignment="1">
      <alignment horizontal="right" wrapText="1"/>
    </xf>
    <xf numFmtId="0" fontId="15" fillId="0" borderId="0" xfId="0" applyFont="1" applyBorder="1" applyAlignment="1">
      <alignment/>
    </xf>
    <xf numFmtId="0" fontId="11" fillId="2" borderId="0" xfId="0" applyFont="1" applyFill="1" applyBorder="1" applyAlignment="1">
      <alignment horizontal="left" wrapText="1"/>
    </xf>
    <xf numFmtId="10" fontId="11" fillId="2" borderId="0" xfId="0" applyNumberFormat="1" applyFont="1" applyFill="1" applyBorder="1" applyAlignment="1">
      <alignment horizontal="right" wrapText="1"/>
    </xf>
    <xf numFmtId="10" fontId="100" fillId="0" borderId="0" xfId="0" applyNumberFormat="1" applyFont="1" applyBorder="1" applyAlignment="1">
      <alignment horizontal="center"/>
    </xf>
    <xf numFmtId="10" fontId="13" fillId="2" borderId="14" xfId="0" applyNumberFormat="1" applyFont="1" applyFill="1" applyBorder="1" applyAlignment="1" quotePrefix="1">
      <alignment horizontal="right" wrapText="1"/>
    </xf>
    <xf numFmtId="10" fontId="13" fillId="0" borderId="2" xfId="0" applyNumberFormat="1" applyFont="1" applyBorder="1" applyAlignment="1">
      <alignment horizontal="center"/>
    </xf>
    <xf numFmtId="0" fontId="13" fillId="0" borderId="2" xfId="0" applyNumberFormat="1" applyFont="1" applyBorder="1" applyAlignment="1">
      <alignment/>
    </xf>
    <xf numFmtId="2" fontId="13" fillId="0" borderId="2" xfId="0" applyNumberFormat="1" applyFont="1" applyBorder="1" applyAlignment="1">
      <alignment/>
    </xf>
    <xf numFmtId="10" fontId="4" fillId="0" borderId="0" xfId="0" applyNumberFormat="1" applyFont="1" applyBorder="1" applyAlignment="1">
      <alignment/>
    </xf>
    <xf numFmtId="0" fontId="13" fillId="2" borderId="15" xfId="0" applyFont="1" applyFill="1" applyBorder="1" applyAlignment="1">
      <alignment horizontal="left"/>
    </xf>
    <xf numFmtId="0" fontId="11" fillId="2" borderId="3" xfId="0" applyFont="1" applyFill="1" applyBorder="1" applyAlignment="1">
      <alignment horizontal="left" wrapText="1"/>
    </xf>
    <xf numFmtId="10" fontId="11" fillId="2" borderId="14" xfId="0" applyNumberFormat="1" applyFont="1" applyFill="1" applyBorder="1" applyAlignment="1">
      <alignment horizontal="right" wrapText="1"/>
    </xf>
    <xf numFmtId="0" fontId="13" fillId="2" borderId="14" xfId="0" applyFont="1" applyFill="1" applyBorder="1" applyAlignment="1">
      <alignment horizontal="right" wrapText="1"/>
    </xf>
    <xf numFmtId="196" fontId="13" fillId="0" borderId="2" xfId="0" applyNumberFormat="1" applyFont="1" applyBorder="1" applyAlignment="1">
      <alignment horizontal="right" vertical="center"/>
    </xf>
    <xf numFmtId="185" fontId="13" fillId="0" borderId="4" xfId="0" applyNumberFormat="1" applyFont="1" applyBorder="1" applyAlignment="1">
      <alignment horizontal="center" vertical="center"/>
    </xf>
    <xf numFmtId="0" fontId="35" fillId="0" borderId="6" xfId="0" applyFont="1" applyFill="1" applyBorder="1" applyAlignment="1">
      <alignment horizontal="center"/>
    </xf>
    <xf numFmtId="0" fontId="35" fillId="0" borderId="0" xfId="0" applyFont="1" applyFill="1" applyBorder="1" applyAlignment="1">
      <alignment horizontal="center"/>
    </xf>
    <xf numFmtId="10" fontId="13" fillId="0" borderId="6" xfId="0" applyNumberFormat="1" applyFont="1" applyFill="1" applyBorder="1" applyAlignment="1">
      <alignment horizontal="left"/>
    </xf>
    <xf numFmtId="10" fontId="13" fillId="0" borderId="6" xfId="0" applyNumberFormat="1" applyFont="1" applyFill="1" applyBorder="1" applyAlignment="1">
      <alignment horizontal="right"/>
    </xf>
    <xf numFmtId="10" fontId="13" fillId="0" borderId="2" xfId="0" applyNumberFormat="1" applyFont="1" applyFill="1" applyBorder="1" applyAlignment="1">
      <alignment horizontal="left"/>
    </xf>
    <xf numFmtId="0" fontId="13" fillId="0" borderId="7" xfId="0" applyFont="1" applyBorder="1" applyAlignment="1">
      <alignment/>
    </xf>
    <xf numFmtId="0" fontId="13" fillId="0" borderId="7" xfId="0" applyFont="1" applyBorder="1" applyAlignment="1">
      <alignment horizontal="justify" vertical="top" wrapText="1"/>
    </xf>
    <xf numFmtId="10" fontId="13" fillId="0" borderId="7" xfId="0" applyNumberFormat="1" applyFont="1" applyBorder="1" applyAlignment="1">
      <alignment horizontal="right"/>
    </xf>
    <xf numFmtId="0" fontId="13" fillId="0" borderId="8" xfId="0" applyFont="1" applyBorder="1" applyAlignment="1">
      <alignment horizontal="justify" vertical="top" wrapText="1"/>
    </xf>
    <xf numFmtId="196" fontId="13" fillId="0" borderId="2" xfId="0" applyNumberFormat="1" applyFont="1" applyBorder="1" applyAlignment="1">
      <alignment horizontal="right"/>
    </xf>
    <xf numFmtId="0" fontId="13" fillId="0" borderId="2" xfId="0" applyFont="1" applyBorder="1" applyAlignment="1">
      <alignment wrapText="1"/>
    </xf>
    <xf numFmtId="10" fontId="13" fillId="0" borderId="2" xfId="21" applyNumberFormat="1" applyFont="1" applyBorder="1" applyAlignment="1">
      <alignment horizontal="right"/>
    </xf>
    <xf numFmtId="10" fontId="4" fillId="0" borderId="2" xfId="21" applyNumberFormat="1" applyFont="1" applyBorder="1" applyAlignment="1">
      <alignment/>
    </xf>
    <xf numFmtId="0" fontId="27" fillId="0" borderId="0" xfId="0" applyFont="1" applyFill="1" applyBorder="1" applyAlignment="1">
      <alignment horizontal="center"/>
    </xf>
    <xf numFmtId="0" fontId="13" fillId="0" borderId="6" xfId="0" applyFont="1" applyFill="1" applyBorder="1" applyAlignment="1">
      <alignment/>
    </xf>
    <xf numFmtId="10" fontId="13" fillId="0" borderId="0" xfId="0" applyNumberFormat="1" applyFont="1" applyFill="1" applyBorder="1" applyAlignment="1">
      <alignment/>
    </xf>
    <xf numFmtId="2" fontId="4" fillId="0" borderId="2" xfId="0" applyNumberFormat="1" applyFont="1" applyBorder="1" applyAlignment="1">
      <alignment horizontal="center"/>
    </xf>
    <xf numFmtId="0" fontId="11" fillId="0" borderId="6" xfId="0" applyFont="1" applyFill="1" applyBorder="1" applyAlignment="1">
      <alignment horizontal="justify" vertical="top" wrapText="1"/>
    </xf>
    <xf numFmtId="10" fontId="11" fillId="0" borderId="0" xfId="0" applyNumberFormat="1" applyFont="1" applyFill="1" applyBorder="1" applyAlignment="1">
      <alignment horizontal="right"/>
    </xf>
    <xf numFmtId="0" fontId="4" fillId="0" borderId="0" xfId="0" applyFont="1" applyBorder="1" applyAlignment="1">
      <alignment vertical="justify" wrapText="1"/>
    </xf>
    <xf numFmtId="10" fontId="4" fillId="0" borderId="0" xfId="21" applyNumberFormat="1" applyFont="1" applyBorder="1" applyAlignment="1">
      <alignment horizontal="center"/>
    </xf>
    <xf numFmtId="10" fontId="13" fillId="0" borderId="0" xfId="0" applyNumberFormat="1" applyFont="1" applyFill="1" applyBorder="1" applyAlignment="1">
      <alignment horizontal="right" vertical="center"/>
    </xf>
    <xf numFmtId="0" fontId="13" fillId="0" borderId="4" xfId="0" applyFont="1" applyBorder="1" applyAlignment="1">
      <alignment horizontal="left"/>
    </xf>
    <xf numFmtId="0" fontId="13" fillId="0" borderId="2" xfId="0" applyFont="1" applyBorder="1" applyAlignment="1">
      <alignment horizontal="left"/>
    </xf>
    <xf numFmtId="0" fontId="11" fillId="0" borderId="2" xfId="0" applyFont="1" applyBorder="1" applyAlignment="1">
      <alignment horizontal="left"/>
    </xf>
    <xf numFmtId="9" fontId="13" fillId="0" borderId="0" xfId="0" applyNumberFormat="1" applyFont="1" applyBorder="1" applyAlignment="1">
      <alignment horizontal="right" vertical="center"/>
    </xf>
    <xf numFmtId="10" fontId="13" fillId="0" borderId="0" xfId="0" applyNumberFormat="1" applyFont="1" applyBorder="1" applyAlignment="1">
      <alignment horizontal="left"/>
    </xf>
    <xf numFmtId="2" fontId="4" fillId="0" borderId="2" xfId="0" applyNumberFormat="1" applyFont="1" applyBorder="1" applyAlignment="1">
      <alignment/>
    </xf>
    <xf numFmtId="0" fontId="13" fillId="0" borderId="10" xfId="0" applyFont="1" applyFill="1" applyBorder="1" applyAlignment="1">
      <alignment/>
    </xf>
    <xf numFmtId="10" fontId="13" fillId="0" borderId="10" xfId="0" applyNumberFormat="1" applyFont="1" applyFill="1" applyBorder="1" applyAlignment="1">
      <alignment horizontal="right"/>
    </xf>
    <xf numFmtId="0" fontId="101" fillId="0" borderId="0" xfId="0" applyFont="1" applyFill="1" applyBorder="1" applyAlignment="1">
      <alignment/>
    </xf>
    <xf numFmtId="0" fontId="102" fillId="0" borderId="0" xfId="0" applyFont="1" applyFill="1" applyBorder="1" applyAlignment="1">
      <alignment/>
    </xf>
    <xf numFmtId="2" fontId="13" fillId="0" borderId="0" xfId="0" applyNumberFormat="1" applyFont="1" applyFill="1" applyAlignment="1">
      <alignment/>
    </xf>
    <xf numFmtId="2" fontId="13" fillId="0" borderId="0" xfId="0" applyNumberFormat="1" applyFont="1" applyFill="1" applyAlignment="1">
      <alignment horizontal="right"/>
    </xf>
    <xf numFmtId="0" fontId="0" fillId="0" borderId="0" xfId="0" applyFont="1" applyFill="1" applyAlignment="1">
      <alignment/>
    </xf>
    <xf numFmtId="3" fontId="105" fillId="0" borderId="0" xfId="0" applyNumberFormat="1" applyFont="1" applyAlignment="1">
      <alignment/>
    </xf>
    <xf numFmtId="10" fontId="0" fillId="0" borderId="0" xfId="0" applyNumberFormat="1" applyFont="1" applyFill="1" applyAlignment="1">
      <alignment/>
    </xf>
    <xf numFmtId="10" fontId="0" fillId="0" borderId="0" xfId="0" applyNumberFormat="1" applyFont="1" applyAlignment="1">
      <alignment/>
    </xf>
    <xf numFmtId="0" fontId="13" fillId="0" borderId="0" xfId="0" applyFont="1" applyFill="1" applyBorder="1" applyAlignment="1">
      <alignment horizontal="left"/>
    </xf>
    <xf numFmtId="1" fontId="0" fillId="0" borderId="0" xfId="0" applyNumberFormat="1" applyFont="1" applyAlignment="1">
      <alignment/>
    </xf>
    <xf numFmtId="0" fontId="27" fillId="0" borderId="0" xfId="0" applyFont="1" applyBorder="1" applyAlignment="1">
      <alignment horizontal="left"/>
    </xf>
    <xf numFmtId="10" fontId="13" fillId="0" borderId="0" xfId="0" applyNumberFormat="1" applyFont="1" applyFill="1" applyAlignment="1">
      <alignment horizontal="right"/>
    </xf>
    <xf numFmtId="0" fontId="10" fillId="0" borderId="0" xfId="0" applyFont="1" applyFill="1" applyBorder="1" applyAlignment="1">
      <alignment horizontal="center"/>
    </xf>
    <xf numFmtId="4" fontId="13" fillId="0" borderId="0" xfId="0" applyNumberFormat="1" applyFont="1" applyFill="1" applyAlignment="1">
      <alignment/>
    </xf>
    <xf numFmtId="0" fontId="105" fillId="0" borderId="0" xfId="0" applyFont="1" applyFill="1" applyAlignment="1">
      <alignment/>
    </xf>
    <xf numFmtId="4" fontId="13" fillId="0" borderId="0" xfId="0" applyNumberFormat="1" applyFont="1" applyFill="1" applyAlignment="1">
      <alignment horizontal="right"/>
    </xf>
    <xf numFmtId="0" fontId="13" fillId="0" borderId="0" xfId="0" applyFont="1" applyFill="1" applyAlignment="1">
      <alignment horizontal="right"/>
    </xf>
    <xf numFmtId="0" fontId="27" fillId="0" borderId="0" xfId="0" applyFont="1" applyFill="1" applyBorder="1" applyAlignment="1">
      <alignment horizontal="left"/>
    </xf>
    <xf numFmtId="0" fontId="41" fillId="4" borderId="0" xfId="0" applyFont="1" applyFill="1" applyBorder="1" applyAlignment="1">
      <alignment/>
    </xf>
    <xf numFmtId="0" fontId="41" fillId="5" borderId="16" xfId="0" applyFont="1" applyFill="1" applyBorder="1" applyAlignment="1">
      <alignment/>
    </xf>
    <xf numFmtId="0" fontId="110" fillId="5" borderId="16" xfId="0" applyFont="1" applyFill="1" applyBorder="1" applyAlignment="1">
      <alignment/>
    </xf>
    <xf numFmtId="0" fontId="41" fillId="5" borderId="17" xfId="0" applyFont="1" applyFill="1" applyBorder="1" applyAlignment="1">
      <alignment/>
    </xf>
    <xf numFmtId="0" fontId="0" fillId="5" borderId="18" xfId="0" applyFont="1" applyFill="1" applyBorder="1" applyAlignment="1">
      <alignment/>
    </xf>
    <xf numFmtId="0" fontId="0" fillId="5" borderId="17" xfId="0" applyFont="1" applyFill="1" applyBorder="1" applyAlignment="1">
      <alignment/>
    </xf>
    <xf numFmtId="0" fontId="41" fillId="5" borderId="16" xfId="0" applyFont="1" applyFill="1" applyBorder="1" applyAlignment="1">
      <alignment/>
    </xf>
    <xf numFmtId="0" fontId="0" fillId="5" borderId="18" xfId="0" applyFill="1" applyBorder="1" applyAlignment="1">
      <alignment/>
    </xf>
    <xf numFmtId="0" fontId="0" fillId="5" borderId="17" xfId="0" applyFill="1" applyBorder="1" applyAlignment="1">
      <alignment/>
    </xf>
    <xf numFmtId="0" fontId="3" fillId="4" borderId="1" xfId="0" applyFont="1" applyFill="1" applyBorder="1" applyAlignment="1">
      <alignment horizontal="center"/>
    </xf>
    <xf numFmtId="0" fontId="3" fillId="4" borderId="2" xfId="0" applyFont="1" applyFill="1" applyBorder="1" applyAlignment="1">
      <alignment horizontal="center"/>
    </xf>
    <xf numFmtId="0" fontId="10" fillId="4" borderId="3" xfId="0" applyFont="1" applyFill="1" applyBorder="1" applyAlignment="1">
      <alignment horizontal="center"/>
    </xf>
    <xf numFmtId="3" fontId="3" fillId="4" borderId="2" xfId="0" applyNumberFormat="1" applyFont="1" applyFill="1" applyBorder="1" applyAlignment="1">
      <alignment horizontal="center"/>
    </xf>
    <xf numFmtId="0" fontId="3" fillId="4" borderId="2" xfId="0" applyFont="1" applyFill="1" applyBorder="1" applyAlignment="1">
      <alignment/>
    </xf>
    <xf numFmtId="3" fontId="3" fillId="4" borderId="2" xfId="0" applyNumberFormat="1" applyFont="1" applyFill="1" applyBorder="1" applyAlignment="1">
      <alignment horizontal="right"/>
    </xf>
    <xf numFmtId="10" fontId="3" fillId="4" borderId="2" xfId="0" applyNumberFormat="1" applyFont="1" applyFill="1" applyBorder="1" applyAlignment="1">
      <alignment horizontal="right"/>
    </xf>
    <xf numFmtId="10" fontId="3" fillId="4" borderId="2" xfId="0" applyNumberFormat="1" applyFont="1" applyFill="1" applyBorder="1" applyAlignment="1">
      <alignment/>
    </xf>
    <xf numFmtId="0" fontId="10" fillId="4" borderId="4" xfId="0" applyFont="1" applyFill="1" applyBorder="1" applyAlignment="1">
      <alignment horizontal="center"/>
    </xf>
    <xf numFmtId="0" fontId="3" fillId="4" borderId="4" xfId="0" applyFont="1" applyFill="1" applyBorder="1" applyAlignment="1">
      <alignment horizontal="center"/>
    </xf>
    <xf numFmtId="0" fontId="3" fillId="4" borderId="4" xfId="0" applyFont="1" applyFill="1" applyBorder="1" applyAlignment="1" quotePrefix="1">
      <alignment horizontal="center"/>
    </xf>
    <xf numFmtId="3" fontId="3" fillId="4" borderId="3" xfId="0" applyNumberFormat="1" applyFont="1" applyFill="1" applyBorder="1" applyAlignment="1">
      <alignment horizontal="center"/>
    </xf>
    <xf numFmtId="0" fontId="3" fillId="4" borderId="3" xfId="0" applyFont="1" applyFill="1" applyBorder="1" applyAlignment="1">
      <alignment horizontal="center"/>
    </xf>
    <xf numFmtId="0" fontId="0" fillId="5" borderId="16" xfId="0" applyFill="1" applyBorder="1" applyAlignment="1">
      <alignment/>
    </xf>
    <xf numFmtId="0" fontId="15" fillId="5" borderId="16" xfId="0" applyFont="1" applyFill="1" applyBorder="1" applyAlignment="1">
      <alignment/>
    </xf>
    <xf numFmtId="0" fontId="1" fillId="4" borderId="1" xfId="0" applyFont="1" applyFill="1" applyBorder="1" applyAlignment="1">
      <alignment/>
    </xf>
    <xf numFmtId="2" fontId="3" fillId="4" borderId="1" xfId="0" applyNumberFormat="1" applyFont="1" applyFill="1" applyBorder="1" applyAlignment="1" quotePrefix="1">
      <alignment horizontal="center"/>
    </xf>
    <xf numFmtId="2" fontId="3" fillId="4" borderId="1" xfId="0" applyNumberFormat="1" applyFont="1" applyFill="1" applyBorder="1" applyAlignment="1">
      <alignment horizontal="center"/>
    </xf>
    <xf numFmtId="0" fontId="2" fillId="4" borderId="3" xfId="0" applyFont="1" applyFill="1" applyBorder="1" applyAlignment="1">
      <alignment/>
    </xf>
    <xf numFmtId="2" fontId="3" fillId="4" borderId="3" xfId="0" applyNumberFormat="1" applyFont="1" applyFill="1" applyBorder="1" applyAlignment="1">
      <alignment horizontal="center"/>
    </xf>
    <xf numFmtId="0" fontId="3" fillId="4" borderId="1" xfId="0" applyFont="1" applyFill="1" applyBorder="1" applyAlignment="1" quotePrefix="1">
      <alignment horizontal="center"/>
    </xf>
    <xf numFmtId="0" fontId="74" fillId="4" borderId="3" xfId="0" applyFont="1" applyFill="1" applyBorder="1" applyAlignment="1" quotePrefix="1">
      <alignment horizontal="center"/>
    </xf>
    <xf numFmtId="0" fontId="74" fillId="4" borderId="3" xfId="0" applyFont="1" applyFill="1" applyBorder="1" applyAlignment="1">
      <alignment horizontal="center"/>
    </xf>
    <xf numFmtId="0" fontId="7" fillId="4" borderId="3" xfId="0" applyFont="1" applyFill="1" applyBorder="1" applyAlignment="1">
      <alignment horizontal="center"/>
    </xf>
    <xf numFmtId="2" fontId="7" fillId="4" borderId="3" xfId="0" applyNumberFormat="1" applyFont="1" applyFill="1" applyBorder="1" applyAlignment="1">
      <alignment horizontal="center"/>
    </xf>
    <xf numFmtId="4" fontId="3" fillId="4" borderId="1" xfId="0" applyNumberFormat="1" applyFont="1" applyFill="1" applyBorder="1" applyAlignment="1" quotePrefix="1">
      <alignment horizontal="center"/>
    </xf>
    <xf numFmtId="4" fontId="7" fillId="4" borderId="3" xfId="0" applyNumberFormat="1" applyFont="1" applyFill="1" applyBorder="1" applyAlignment="1">
      <alignment horizontal="center"/>
    </xf>
    <xf numFmtId="2" fontId="3" fillId="4" borderId="1" xfId="21" applyNumberFormat="1" applyFont="1" applyFill="1" applyBorder="1" applyAlignment="1">
      <alignment horizontal="center"/>
    </xf>
    <xf numFmtId="187" fontId="3" fillId="4" borderId="1" xfId="0" applyNumberFormat="1" applyFont="1" applyFill="1" applyBorder="1" applyAlignment="1">
      <alignment horizontal="center"/>
    </xf>
    <xf numFmtId="3" fontId="3" fillId="4" borderId="2" xfId="0" applyNumberFormat="1" applyFont="1" applyFill="1" applyBorder="1" applyAlignment="1">
      <alignment horizontal="center" wrapText="1"/>
    </xf>
    <xf numFmtId="0" fontId="8" fillId="0" borderId="0" xfId="0" applyFont="1" applyFill="1" applyBorder="1" applyAlignment="1">
      <alignment horizontal="center"/>
    </xf>
    <xf numFmtId="0" fontId="9" fillId="0" borderId="0" xfId="0" applyFont="1"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6" fillId="4" borderId="21"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0" fontId="27" fillId="0" borderId="0" xfId="0" applyFont="1" applyBorder="1" applyAlignment="1">
      <alignment horizontal="justify" vertical="top" wrapText="1"/>
    </xf>
    <xf numFmtId="0" fontId="27" fillId="0" borderId="0" xfId="0" applyFont="1" applyAlignment="1">
      <alignment horizontal="justify" vertical="top" wrapText="1"/>
    </xf>
    <xf numFmtId="3" fontId="35" fillId="0" borderId="0" xfId="0" applyNumberFormat="1" applyFont="1" applyFill="1" applyBorder="1" applyAlignment="1">
      <alignment horizontal="justify" vertical="top" wrapText="1"/>
    </xf>
    <xf numFmtId="0" fontId="6" fillId="4" borderId="24"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0" fontId="107" fillId="4" borderId="25" xfId="0" applyFont="1" applyFill="1" applyBorder="1" applyAlignment="1">
      <alignment horizontal="center"/>
    </xf>
    <xf numFmtId="0" fontId="107" fillId="4" borderId="21" xfId="0" applyFont="1" applyFill="1" applyBorder="1" applyAlignment="1">
      <alignment horizontal="center"/>
    </xf>
    <xf numFmtId="0" fontId="107" fillId="4" borderId="23" xfId="0" applyFont="1" applyFill="1" applyBorder="1" applyAlignment="1">
      <alignment horizontal="center"/>
    </xf>
    <xf numFmtId="0" fontId="108" fillId="4" borderId="0" xfId="0" applyFont="1" applyFill="1" applyBorder="1" applyAlignment="1">
      <alignment horizontal="center" vertical="top" wrapText="1"/>
    </xf>
    <xf numFmtId="0" fontId="106" fillId="4" borderId="0" xfId="0" applyFont="1" applyFill="1" applyBorder="1" applyAlignment="1">
      <alignment horizontal="center"/>
    </xf>
    <xf numFmtId="0" fontId="106" fillId="4" borderId="24" xfId="0" applyFont="1" applyFill="1" applyBorder="1" applyAlignment="1">
      <alignment horizontal="center"/>
    </xf>
    <xf numFmtId="0" fontId="106" fillId="4" borderId="20" xfId="0" applyFont="1" applyFill="1" applyBorder="1" applyAlignment="1">
      <alignment horizontal="center"/>
    </xf>
    <xf numFmtId="0" fontId="106" fillId="4" borderId="26" xfId="0" applyFont="1" applyFill="1" applyBorder="1" applyAlignment="1">
      <alignment horizontal="center"/>
    </xf>
    <xf numFmtId="0" fontId="106" fillId="4" borderId="25" xfId="0" applyFont="1" applyFill="1" applyBorder="1" applyAlignment="1">
      <alignment horizontal="center"/>
    </xf>
    <xf numFmtId="0" fontId="107" fillId="4" borderId="26" xfId="0" applyFont="1"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16" fillId="0" borderId="0" xfId="0" applyFont="1" applyAlignment="1">
      <alignment horizontal="justify" vertical="top" wrapText="1"/>
    </xf>
    <xf numFmtId="0" fontId="14" fillId="0" borderId="0" xfId="0" applyFont="1" applyAlignment="1">
      <alignment horizontal="justify" vertical="top" wrapText="1"/>
    </xf>
    <xf numFmtId="0" fontId="3" fillId="0" borderId="12"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3" fontId="27" fillId="0" borderId="0" xfId="0" applyNumberFormat="1" applyFont="1" applyBorder="1" applyAlignment="1">
      <alignment horizontal="justify" vertical="top" wrapText="1"/>
    </xf>
    <xf numFmtId="0" fontId="3" fillId="0" borderId="6"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27" xfId="0" applyFont="1" applyBorder="1" applyAlignment="1">
      <alignment horizontal="center"/>
    </xf>
    <xf numFmtId="0" fontId="3" fillId="0" borderId="11" xfId="0" applyFont="1" applyBorder="1" applyAlignment="1">
      <alignment horizontal="center"/>
    </xf>
    <xf numFmtId="0" fontId="35" fillId="0" borderId="0" xfId="0" applyFont="1" applyBorder="1" applyAlignment="1">
      <alignment horizontal="justify" vertical="top" wrapText="1"/>
    </xf>
    <xf numFmtId="3" fontId="35" fillId="0" borderId="6" xfId="0" applyNumberFormat="1" applyFont="1" applyBorder="1" applyAlignment="1">
      <alignment horizontal="justify" wrapText="1"/>
    </xf>
    <xf numFmtId="3" fontId="35" fillId="0" borderId="0" xfId="0" applyNumberFormat="1" applyFont="1" applyBorder="1" applyAlignment="1">
      <alignment horizontal="justify" wrapText="1"/>
    </xf>
    <xf numFmtId="0" fontId="0" fillId="0" borderId="0" xfId="0" applyAlignment="1">
      <alignment horizontal="justify" vertical="top" wrapText="1"/>
    </xf>
    <xf numFmtId="0" fontId="35" fillId="0" borderId="0" xfId="0" applyFont="1" applyAlignment="1">
      <alignment horizontal="justify" vertical="top" wrapText="1"/>
    </xf>
    <xf numFmtId="0" fontId="35" fillId="0" borderId="0" xfId="0" applyFont="1" applyAlignment="1">
      <alignment vertical="top" wrapText="1"/>
    </xf>
    <xf numFmtId="0" fontId="0" fillId="0" borderId="0" xfId="0" applyAlignment="1">
      <alignment vertical="top" wrapText="1"/>
    </xf>
    <xf numFmtId="0" fontId="14" fillId="0" borderId="0" xfId="0" applyFont="1" applyAlignment="1">
      <alignment horizontal="justify" vertical="top" wrapText="1"/>
    </xf>
    <xf numFmtId="3" fontId="35" fillId="0" borderId="0" xfId="0" applyNumberFormat="1" applyFont="1" applyBorder="1" applyAlignment="1">
      <alignment horizontal="justify" vertical="top" wrapText="1"/>
    </xf>
    <xf numFmtId="3" fontId="3" fillId="2" borderId="10" xfId="0" applyNumberFormat="1" applyFont="1" applyFill="1" applyBorder="1" applyAlignment="1">
      <alignment horizontal="center"/>
    </xf>
    <xf numFmtId="3" fontId="3" fillId="2" borderId="11" xfId="0" applyNumberFormat="1" applyFont="1" applyFill="1" applyBorder="1" applyAlignment="1">
      <alignment horizontal="center"/>
    </xf>
    <xf numFmtId="10" fontId="3" fillId="2" borderId="10" xfId="0" applyNumberFormat="1" applyFont="1" applyFill="1" applyBorder="1" applyAlignment="1">
      <alignment horizontal="center"/>
    </xf>
    <xf numFmtId="10" fontId="3" fillId="2" borderId="11" xfId="0" applyNumberFormat="1" applyFont="1" applyFill="1" applyBorder="1" applyAlignment="1">
      <alignment horizontal="center"/>
    </xf>
    <xf numFmtId="3" fontId="3" fillId="2" borderId="10" xfId="0" applyNumberFormat="1" applyFont="1" applyFill="1" applyBorder="1" applyAlignment="1">
      <alignment horizontal="center" vertical="top"/>
    </xf>
    <xf numFmtId="3" fontId="3" fillId="2" borderId="11" xfId="0" applyNumberFormat="1" applyFont="1" applyFill="1" applyBorder="1" applyAlignment="1">
      <alignment horizontal="center" vertical="top"/>
    </xf>
    <xf numFmtId="10" fontId="3" fillId="2" borderId="10" xfId="0" applyNumberFormat="1" applyFont="1" applyFill="1" applyBorder="1" applyAlignment="1">
      <alignment horizontal="center" vertical="top"/>
    </xf>
    <xf numFmtId="10" fontId="3" fillId="2" borderId="11" xfId="0" applyNumberFormat="1" applyFont="1" applyFill="1" applyBorder="1" applyAlignment="1">
      <alignment horizontal="center" vertical="top"/>
    </xf>
    <xf numFmtId="0" fontId="10" fillId="0" borderId="6" xfId="0" applyFont="1" applyBorder="1" applyAlignment="1">
      <alignment horizontal="center"/>
    </xf>
    <xf numFmtId="0" fontId="10" fillId="0" borderId="5"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3" fontId="36" fillId="0" borderId="0" xfId="0" applyNumberFormat="1" applyFont="1" applyFill="1" applyAlignment="1">
      <alignment horizontal="justify"/>
    </xf>
    <xf numFmtId="0" fontId="3" fillId="0" borderId="1" xfId="0" applyFont="1" applyBorder="1" applyAlignment="1">
      <alignment horizontal="center"/>
    </xf>
    <xf numFmtId="0" fontId="3" fillId="0" borderId="3" xfId="0" applyFont="1" applyBorder="1" applyAlignment="1">
      <alignment horizontal="center"/>
    </xf>
    <xf numFmtId="0" fontId="35" fillId="0" borderId="0" xfId="0" applyFont="1" applyBorder="1" applyAlignment="1">
      <alignment horizontal="left" vertical="top" wrapText="1"/>
    </xf>
    <xf numFmtId="0" fontId="27" fillId="0" borderId="0" xfId="0" applyFont="1" applyAlignment="1">
      <alignment horizontal="left" wrapText="1"/>
    </xf>
    <xf numFmtId="0" fontId="27" fillId="0" borderId="0" xfId="0" applyFont="1" applyAlignment="1">
      <alignment horizontal="left" vertical="top" wrapText="1"/>
    </xf>
    <xf numFmtId="0" fontId="6" fillId="4" borderId="28" xfId="0" applyFont="1" applyFill="1" applyBorder="1" applyAlignment="1">
      <alignment horizontal="center"/>
    </xf>
    <xf numFmtId="0" fontId="6" fillId="4" borderId="29" xfId="0" applyFont="1" applyFill="1" applyBorder="1" applyAlignment="1">
      <alignment horizontal="center"/>
    </xf>
    <xf numFmtId="0" fontId="6" fillId="4" borderId="30" xfId="0" applyFont="1" applyFill="1" applyBorder="1" applyAlignment="1">
      <alignment horizontal="center"/>
    </xf>
    <xf numFmtId="0" fontId="29" fillId="4" borderId="24" xfId="0" applyFont="1" applyFill="1" applyBorder="1" applyAlignment="1">
      <alignment horizontal="center"/>
    </xf>
    <xf numFmtId="0" fontId="29" fillId="4" borderId="19" xfId="0" applyFont="1" applyFill="1" applyBorder="1" applyAlignment="1">
      <alignment horizontal="center"/>
    </xf>
    <xf numFmtId="0" fontId="29" fillId="4" borderId="20" xfId="0" applyFont="1" applyFill="1" applyBorder="1" applyAlignment="1">
      <alignment horizontal="center"/>
    </xf>
    <xf numFmtId="0" fontId="29" fillId="4" borderId="24"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32" fillId="4" borderId="21" xfId="0" applyFont="1" applyFill="1" applyBorder="1" applyAlignment="1">
      <alignment horizontal="center" wrapText="1"/>
    </xf>
    <xf numFmtId="0" fontId="31" fillId="4" borderId="22" xfId="0" applyFont="1" applyFill="1" applyBorder="1" applyAlignment="1">
      <alignment horizontal="center" wrapText="1"/>
    </xf>
    <xf numFmtId="0" fontId="31" fillId="4" borderId="23" xfId="0" applyFont="1" applyFill="1" applyBorder="1" applyAlignment="1">
      <alignment horizontal="center" wrapText="1"/>
    </xf>
    <xf numFmtId="0" fontId="3" fillId="4" borderId="2" xfId="0" applyFont="1" applyFill="1" applyBorder="1" applyAlignment="1">
      <alignment horizontal="center"/>
    </xf>
    <xf numFmtId="0" fontId="32" fillId="4" borderId="21" xfId="0" applyFont="1" applyFill="1" applyBorder="1" applyAlignment="1">
      <alignment horizontal="center"/>
    </xf>
    <xf numFmtId="0" fontId="32" fillId="4" borderId="22" xfId="0" applyFont="1" applyFill="1" applyBorder="1" applyAlignment="1">
      <alignment horizontal="center"/>
    </xf>
    <xf numFmtId="0" fontId="32" fillId="4" borderId="23" xfId="0" applyFont="1" applyFill="1" applyBorder="1" applyAlignment="1">
      <alignment horizontal="center"/>
    </xf>
    <xf numFmtId="0" fontId="27" fillId="0" borderId="0" xfId="0" applyFont="1" applyBorder="1" applyAlignment="1">
      <alignment horizontal="justify" vertical="top"/>
    </xf>
    <xf numFmtId="0" fontId="27" fillId="0" borderId="0" xfId="0" applyFont="1" applyBorder="1" applyAlignment="1">
      <alignment horizontal="justify"/>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0" fontId="97" fillId="0" borderId="1" xfId="0" applyFont="1" applyBorder="1" applyAlignment="1">
      <alignment horizontal="center" vertical="top" wrapText="1"/>
    </xf>
    <xf numFmtId="0" fontId="97" fillId="0" borderId="3" xfId="0" applyFont="1" applyBorder="1" applyAlignment="1">
      <alignment horizontal="center" vertical="top" wrapText="1"/>
    </xf>
    <xf numFmtId="0" fontId="6" fillId="4" borderId="28" xfId="0" applyFont="1" applyFill="1" applyBorder="1" applyAlignment="1">
      <alignment horizontal="center" wrapText="1"/>
    </xf>
    <xf numFmtId="0" fontId="6" fillId="4" borderId="29" xfId="0" applyFont="1" applyFill="1" applyBorder="1" applyAlignment="1">
      <alignment horizontal="center" wrapText="1"/>
    </xf>
    <xf numFmtId="0" fontId="6" fillId="4" borderId="30" xfId="0" applyFont="1" applyFill="1" applyBorder="1" applyAlignment="1">
      <alignment horizontal="center" wrapText="1"/>
    </xf>
    <xf numFmtId="0" fontId="10" fillId="0" borderId="0" xfId="0" applyFont="1" applyAlignment="1">
      <alignment horizontal="center"/>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97" fillId="0" borderId="10" xfId="0" applyFont="1" applyBorder="1" applyAlignment="1">
      <alignment horizontal="center" vertical="top" wrapText="1"/>
    </xf>
    <xf numFmtId="0" fontId="97" fillId="0" borderId="11" xfId="0" applyFont="1" applyBorder="1" applyAlignment="1">
      <alignment horizontal="center" vertical="top" wrapText="1"/>
    </xf>
    <xf numFmtId="0" fontId="0" fillId="0" borderId="0" xfId="0" applyAlignment="1">
      <alignment wrapText="1"/>
    </xf>
    <xf numFmtId="0" fontId="97" fillId="0" borderId="1" xfId="0" applyFont="1" applyBorder="1" applyAlignment="1">
      <alignment horizontal="center" vertical="top"/>
    </xf>
    <xf numFmtId="0" fontId="97" fillId="0" borderId="3" xfId="0" applyFont="1" applyBorder="1" applyAlignment="1">
      <alignment horizontal="center" vertical="top"/>
    </xf>
    <xf numFmtId="2" fontId="3" fillId="4" borderId="10" xfId="0" applyNumberFormat="1" applyFont="1" applyFill="1" applyBorder="1" applyAlignment="1">
      <alignment horizontal="center"/>
    </xf>
    <xf numFmtId="2" fontId="3" fillId="4" borderId="11" xfId="0" applyNumberFormat="1" applyFont="1" applyFill="1" applyBorder="1" applyAlignment="1">
      <alignment horizontal="center"/>
    </xf>
    <xf numFmtId="2" fontId="3" fillId="0" borderId="10" xfId="0" applyNumberFormat="1" applyFont="1" applyFill="1" applyBorder="1" applyAlignment="1">
      <alignment horizontal="center"/>
    </xf>
    <xf numFmtId="0" fontId="3" fillId="0" borderId="11" xfId="0" applyFont="1" applyFill="1" applyBorder="1" applyAlignment="1">
      <alignment horizontal="center"/>
    </xf>
    <xf numFmtId="2" fontId="3" fillId="0" borderId="11" xfId="0" applyNumberFormat="1" applyFont="1" applyFill="1" applyBorder="1" applyAlignment="1">
      <alignment horizontal="center"/>
    </xf>
    <xf numFmtId="0" fontId="10" fillId="0" borderId="0" xfId="0" applyFont="1" applyFill="1" applyAlignment="1">
      <alignment horizontal="center"/>
    </xf>
    <xf numFmtId="0" fontId="3" fillId="4" borderId="11" xfId="0" applyFont="1" applyFill="1" applyBorder="1" applyAlignment="1">
      <alignment horizontal="center"/>
    </xf>
    <xf numFmtId="0" fontId="0" fillId="0" borderId="0" xfId="0" applyAlignment="1">
      <alignment/>
    </xf>
    <xf numFmtId="0" fontId="13" fillId="0" borderId="0" xfId="0" applyFont="1" applyAlignment="1">
      <alignment horizontal="justify" vertical="top" wrapText="1"/>
    </xf>
    <xf numFmtId="10" fontId="3" fillId="0" borderId="10" xfId="0" applyNumberFormat="1" applyFont="1" applyFill="1" applyBorder="1" applyAlignment="1">
      <alignment horizontal="center"/>
    </xf>
    <xf numFmtId="10" fontId="3" fillId="0" borderId="11" xfId="0" applyNumberFormat="1" applyFont="1" applyFill="1" applyBorder="1" applyAlignment="1">
      <alignment horizontal="center"/>
    </xf>
    <xf numFmtId="0" fontId="27" fillId="0" borderId="0" xfId="0" applyFont="1" applyFill="1" applyBorder="1" applyAlignment="1">
      <alignment horizontal="justify" vertical="top" wrapText="1"/>
    </xf>
    <xf numFmtId="0" fontId="0" fillId="0" borderId="0" xfId="0" applyFill="1" applyAlignment="1">
      <alignment/>
    </xf>
    <xf numFmtId="0" fontId="6" fillId="4" borderId="28" xfId="0" applyFont="1" applyFill="1" applyBorder="1" applyAlignment="1">
      <alignment horizontal="center" vertical="top"/>
    </xf>
    <xf numFmtId="0" fontId="6" fillId="4" borderId="29" xfId="0" applyFont="1" applyFill="1" applyBorder="1" applyAlignment="1">
      <alignment horizontal="center" vertical="top"/>
    </xf>
    <xf numFmtId="0" fontId="6" fillId="4" borderId="30" xfId="0" applyFont="1" applyFill="1" applyBorder="1" applyAlignment="1">
      <alignment horizontal="center" vertical="top"/>
    </xf>
    <xf numFmtId="0" fontId="3" fillId="3" borderId="10" xfId="0" applyFont="1" applyFill="1" applyBorder="1" applyAlignment="1">
      <alignment horizontal="center"/>
    </xf>
    <xf numFmtId="0" fontId="3" fillId="3" borderId="11" xfId="0"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0" borderId="6" xfId="0" applyFont="1" applyFill="1" applyBorder="1" applyAlignment="1">
      <alignment horizontal="center"/>
    </xf>
    <xf numFmtId="0" fontId="3" fillId="0" borderId="0" xfId="0" applyFont="1" applyFill="1" applyBorder="1" applyAlignment="1">
      <alignment horizontal="center"/>
    </xf>
    <xf numFmtId="0" fontId="8" fillId="2" borderId="0" xfId="0" applyFont="1" applyFill="1" applyAlignment="1">
      <alignment horizontal="center"/>
    </xf>
    <xf numFmtId="0" fontId="9" fillId="2" borderId="0" xfId="0" applyFont="1" applyFill="1" applyAlignment="1">
      <alignment horizontal="center"/>
    </xf>
    <xf numFmtId="0" fontId="103" fillId="0" borderId="31" xfId="0" applyFont="1" applyFill="1" applyBorder="1" applyAlignment="1">
      <alignment horizontal="center" vertical="top" wrapText="1"/>
    </xf>
    <xf numFmtId="0" fontId="103" fillId="0" borderId="32" xfId="0" applyFont="1" applyFill="1" applyBorder="1" applyAlignment="1">
      <alignment horizontal="center" vertical="top" wrapText="1"/>
    </xf>
    <xf numFmtId="0" fontId="103" fillId="0" borderId="33" xfId="0" applyFont="1" applyFill="1" applyBorder="1" applyAlignment="1">
      <alignment horizontal="center" vertical="top" wrapText="1"/>
    </xf>
    <xf numFmtId="0" fontId="3" fillId="4" borderId="12" xfId="0" applyFont="1" applyFill="1" applyBorder="1" applyAlignment="1">
      <alignment horizontal="center"/>
    </xf>
    <xf numFmtId="0" fontId="3" fillId="4" borderId="9"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styles" Target="styles.xml" /><Relationship Id="rId97" Type="http://schemas.openxmlformats.org/officeDocument/2006/relationships/sharedStrings" Target="sharedStrings.xml" /><Relationship Id="rId98" Type="http://schemas.openxmlformats.org/officeDocument/2006/relationships/externalLink" Target="externalLinks/externalLink1.xml" /><Relationship Id="rId99" Type="http://schemas.openxmlformats.org/officeDocument/2006/relationships/externalLink" Target="externalLinks/externalLink2.xml" /><Relationship Id="rId100" Type="http://schemas.openxmlformats.org/officeDocument/2006/relationships/externalLink" Target="externalLinks/externalLink3.xml" /><Relationship Id="rId101" Type="http://schemas.openxmlformats.org/officeDocument/2006/relationships/externalLink" Target="externalLinks/externalLink4.xml" /><Relationship Id="rId102" Type="http://schemas.openxmlformats.org/officeDocument/2006/relationships/externalLink" Target="externalLinks/externalLink5.xml" /><Relationship Id="rId103" Type="http://schemas.openxmlformats.org/officeDocument/2006/relationships/externalLink" Target="externalLinks/externalLink6.xml" /><Relationship Id="rId104" Type="http://schemas.openxmlformats.org/officeDocument/2006/relationships/externalLink" Target="externalLinks/externalLink7.xml" /><Relationship Id="rId10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ARGENTINA: EVOLUCION DE LOS AFILIADOS Y COTIZANTES (En miles)
</a:t>
            </a:r>
            <a:r>
              <a:rPr lang="en-US" cap="none" sz="900" b="1" i="1" u="none" baseline="0">
                <a:solidFill>
                  <a:srgbClr val="008080"/>
                </a:solidFill>
                <a:latin typeface="Arial"/>
                <a:ea typeface="Arial"/>
                <a:cs typeface="Arial"/>
              </a:rPr>
              <a:t>ARGENTINA: EVOLUTION OF AFFILIATES AND CONTRIBUTORS (In thousand)</a:t>
            </a:r>
          </a:p>
        </c:rich>
      </c:tx>
      <c:layout>
        <c:manualLayout>
          <c:xMode val="factor"/>
          <c:yMode val="factor"/>
          <c:x val="0.00525"/>
          <c:y val="-0.0145"/>
        </c:manualLayout>
      </c:layout>
      <c:spPr>
        <a:noFill/>
        <a:ln>
          <a:noFill/>
        </a:ln>
      </c:spPr>
    </c:title>
    <c:view3D>
      <c:rotX val="8"/>
      <c:rotY val="15"/>
      <c:depthPercent val="100"/>
      <c:rAngAx val="1"/>
    </c:view3D>
    <c:plotArea>
      <c:layout>
        <c:manualLayout>
          <c:xMode val="edge"/>
          <c:yMode val="edge"/>
          <c:x val="0.004"/>
          <c:y val="0.102"/>
          <c:w val="0.88125"/>
          <c:h val="0.898"/>
        </c:manualLayout>
      </c:layout>
      <c:bar3DChart>
        <c:barDir val="col"/>
        <c:grouping val="clustered"/>
        <c:varyColors val="0"/>
        <c:ser>
          <c:idx val="0"/>
          <c:order val="0"/>
          <c:tx>
            <c:strRef>
              <c:f>Hoja18!$B$36</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Hoja18!$A$37:$A$45</c:f>
              <c:numCache>
                <c:ptCount val="9"/>
                <c:pt idx="0">
                  <c:v>0</c:v>
                </c:pt>
                <c:pt idx="1">
                  <c:v>0</c:v>
                </c:pt>
                <c:pt idx="2">
                  <c:v>0</c:v>
                </c:pt>
                <c:pt idx="3">
                  <c:v>0</c:v>
                </c:pt>
                <c:pt idx="4">
                  <c:v>0</c:v>
                </c:pt>
                <c:pt idx="5">
                  <c:v>0</c:v>
                </c:pt>
                <c:pt idx="6">
                  <c:v>0</c:v>
                </c:pt>
                <c:pt idx="7">
                  <c:v>0</c:v>
                </c:pt>
                <c:pt idx="8">
                  <c:v>0</c:v>
                </c:pt>
              </c:numCache>
            </c:numRef>
          </c:cat>
          <c:val>
            <c:numRef>
              <c:f>Hoja18!$B$37:$B$45</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Hoja18!$C$36</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Hoja18!$A$37:$A$45</c:f>
              <c:numCache>
                <c:ptCount val="9"/>
                <c:pt idx="0">
                  <c:v>0</c:v>
                </c:pt>
                <c:pt idx="1">
                  <c:v>0</c:v>
                </c:pt>
                <c:pt idx="2">
                  <c:v>0</c:v>
                </c:pt>
                <c:pt idx="3">
                  <c:v>0</c:v>
                </c:pt>
                <c:pt idx="4">
                  <c:v>0</c:v>
                </c:pt>
                <c:pt idx="5">
                  <c:v>0</c:v>
                </c:pt>
                <c:pt idx="6">
                  <c:v>0</c:v>
                </c:pt>
                <c:pt idx="7">
                  <c:v>0</c:v>
                </c:pt>
                <c:pt idx="8">
                  <c:v>0</c:v>
                </c:pt>
              </c:numCache>
            </c:numRef>
          </c:cat>
          <c:val>
            <c:numRef>
              <c:f>Hoja18!$C$37:$C$45</c:f>
              <c:numCache>
                <c:ptCount val="9"/>
                <c:pt idx="0">
                  <c:v>0</c:v>
                </c:pt>
                <c:pt idx="1">
                  <c:v>0</c:v>
                </c:pt>
                <c:pt idx="2">
                  <c:v>0</c:v>
                </c:pt>
                <c:pt idx="3">
                  <c:v>0</c:v>
                </c:pt>
                <c:pt idx="4">
                  <c:v>0</c:v>
                </c:pt>
                <c:pt idx="5">
                  <c:v>0</c:v>
                </c:pt>
                <c:pt idx="6">
                  <c:v>0</c:v>
                </c:pt>
                <c:pt idx="7">
                  <c:v>0</c:v>
                </c:pt>
                <c:pt idx="8">
                  <c:v>0</c:v>
                </c:pt>
              </c:numCache>
            </c:numRef>
          </c:val>
          <c:shape val="box"/>
        </c:ser>
        <c:gapWidth val="70"/>
        <c:shape val="box"/>
        <c:axId val="64248795"/>
        <c:axId val="41368244"/>
      </c:bar3DChart>
      <c:catAx>
        <c:axId val="6424879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41368244"/>
        <c:crosses val="autoZero"/>
        <c:auto val="1"/>
        <c:lblOffset val="100"/>
        <c:noMultiLvlLbl val="0"/>
      </c:catAx>
      <c:valAx>
        <c:axId val="41368244"/>
        <c:scaling>
          <c:orientation val="minMax"/>
          <c:max val="1000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248795"/>
        <c:crossesAt val="1"/>
        <c:crossBetween val="between"/>
        <c:dispUnits/>
      </c:valAx>
      <c:spPr>
        <a:noFill/>
        <a:ln>
          <a:noFill/>
        </a:ln>
      </c:spPr>
    </c:plotArea>
    <c:legend>
      <c:legendPos val="r"/>
      <c:layout>
        <c:manualLayout>
          <c:xMode val="edge"/>
          <c:yMode val="edge"/>
          <c:x val="0.8855"/>
          <c:y val="0.8665"/>
          <c:w val="0.11325"/>
          <c:h val="0.1335"/>
        </c:manualLayout>
      </c:layout>
      <c:overlay val="0"/>
      <c:txPr>
        <a:bodyPr vert="horz" rot="0"/>
        <a:lstStyle/>
        <a:p>
          <a:pPr>
            <a:defRPr lang="en-US" cap="none" sz="800"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COLOMBIA: EVOLUCION DE LOS FONDOS DE PENSIONES (Millones de US$)
</a:t>
            </a:r>
            <a:r>
              <a:rPr lang="en-US" cap="none" sz="900" b="1" i="1" u="none" baseline="0">
                <a:solidFill>
                  <a:srgbClr val="008080"/>
                </a:solidFill>
                <a:latin typeface="Arial"/>
                <a:ea typeface="Arial"/>
                <a:cs typeface="Arial"/>
              </a:rPr>
              <a:t>COLOMBIA: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Hoja26!$A$37:$A$45</c:f>
              <c:numCache>
                <c:ptCount val="9"/>
                <c:pt idx="0">
                  <c:v>0</c:v>
                </c:pt>
                <c:pt idx="1">
                  <c:v>0</c:v>
                </c:pt>
                <c:pt idx="2">
                  <c:v>0</c:v>
                </c:pt>
                <c:pt idx="3">
                  <c:v>0</c:v>
                </c:pt>
                <c:pt idx="4">
                  <c:v>0</c:v>
                </c:pt>
                <c:pt idx="5">
                  <c:v>0</c:v>
                </c:pt>
                <c:pt idx="6">
                  <c:v>0</c:v>
                </c:pt>
                <c:pt idx="7">
                  <c:v>0</c:v>
                </c:pt>
                <c:pt idx="8">
                  <c:v>0</c:v>
                </c:pt>
              </c:numCache>
            </c:numRef>
          </c:cat>
          <c:val>
            <c:numRef>
              <c:f>Hoja26!$B$37:$B$45</c:f>
              <c:numCache>
                <c:ptCount val="9"/>
                <c:pt idx="0">
                  <c:v>0</c:v>
                </c:pt>
                <c:pt idx="1">
                  <c:v>0</c:v>
                </c:pt>
                <c:pt idx="2">
                  <c:v>0</c:v>
                </c:pt>
                <c:pt idx="3">
                  <c:v>0</c:v>
                </c:pt>
                <c:pt idx="4">
                  <c:v>0</c:v>
                </c:pt>
                <c:pt idx="5">
                  <c:v>0</c:v>
                </c:pt>
                <c:pt idx="6">
                  <c:v>0</c:v>
                </c:pt>
                <c:pt idx="7">
                  <c:v>0</c:v>
                </c:pt>
                <c:pt idx="8">
                  <c:v>0</c:v>
                </c:pt>
              </c:numCache>
            </c:numRef>
          </c:val>
          <c:shape val="box"/>
        </c:ser>
        <c:gapWidth val="100"/>
        <c:shape val="box"/>
        <c:axId val="15177893"/>
        <c:axId val="2383310"/>
      </c:bar3DChart>
      <c:catAx>
        <c:axId val="1517789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2383310"/>
        <c:crosses val="autoZero"/>
        <c:auto val="1"/>
        <c:lblOffset val="100"/>
        <c:noMultiLvlLbl val="0"/>
      </c:catAx>
      <c:valAx>
        <c:axId val="238331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517789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COSTA RICA: EVOLUCION DE LOS AFILIADOS (En miles)
</a:t>
            </a:r>
            <a:r>
              <a:rPr lang="en-US" cap="none" sz="900" b="1" i="1" u="none" baseline="0">
                <a:solidFill>
                  <a:srgbClr val="008080"/>
                </a:solidFill>
                <a:latin typeface="Arial"/>
                <a:ea typeface="Arial"/>
                <a:cs typeface="Arial"/>
              </a:rPr>
              <a:t>COSTA RICA: EVOLUTION OF AFFILIATES AND CONTRIBUTORS (In thusand)</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strRef>
              <c:f>Hoja27!$A$36:$A$39</c:f>
              <c:strCache/>
            </c:strRef>
          </c:cat>
          <c:val>
            <c:numRef>
              <c:f>Hoja27!$B$36:$B$39</c:f>
              <c:numCache>
                <c:ptCount val="4"/>
                <c:pt idx="0">
                  <c:v>0</c:v>
                </c:pt>
                <c:pt idx="1">
                  <c:v>0</c:v>
                </c:pt>
                <c:pt idx="2">
                  <c:v>0</c:v>
                </c:pt>
                <c:pt idx="3">
                  <c:v>0</c:v>
                </c:pt>
              </c:numCache>
            </c:numRef>
          </c:val>
          <c:shape val="box"/>
        </c:ser>
        <c:shape val="box"/>
        <c:axId val="21449791"/>
        <c:axId val="58830392"/>
      </c:bar3DChart>
      <c:catAx>
        <c:axId val="2144979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8830392"/>
        <c:crosses val="autoZero"/>
        <c:auto val="1"/>
        <c:lblOffset val="100"/>
        <c:noMultiLvlLbl val="0"/>
      </c:catAx>
      <c:valAx>
        <c:axId val="5883039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144979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COSTA RICA: EVOLUCION DE LOS FONDOS DE PENSIONES (Millones de US$)
COSTA RICA: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Hoja28!$A$42:$A$45</c:f>
              <c:strCache/>
            </c:strRef>
          </c:cat>
          <c:val>
            <c:numRef>
              <c:f>Hoja28!$B$42:$B$45</c:f>
              <c:numCache>
                <c:ptCount val="4"/>
                <c:pt idx="0">
                  <c:v>0</c:v>
                </c:pt>
                <c:pt idx="1">
                  <c:v>0</c:v>
                </c:pt>
                <c:pt idx="2">
                  <c:v>0</c:v>
                </c:pt>
                <c:pt idx="3">
                  <c:v>0</c:v>
                </c:pt>
              </c:numCache>
            </c:numRef>
          </c:val>
          <c:shape val="box"/>
        </c:ser>
        <c:shape val="box"/>
        <c:axId val="59711481"/>
        <c:axId val="532418"/>
      </c:bar3DChart>
      <c:catAx>
        <c:axId val="5971148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32418"/>
        <c:crosses val="autoZero"/>
        <c:auto val="1"/>
        <c:lblOffset val="100"/>
        <c:noMultiLvlLbl val="0"/>
      </c:catAx>
      <c:valAx>
        <c:axId val="53241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71148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CHILE: EVOLUCION DE LOS AFLIADOS Y COTIZANTES (En miles)
</a:t>
            </a:r>
            <a:r>
              <a:rPr lang="en-US" cap="none" sz="900" b="1" i="1" u="none" baseline="0">
                <a:solidFill>
                  <a:srgbClr val="008080"/>
                </a:solidFill>
                <a:latin typeface="Arial"/>
                <a:ea typeface="Arial"/>
                <a:cs typeface="Arial"/>
              </a:rPr>
              <a:t>CHILE: EVOLUTION OF AFFILIATES AND CONTRIBUTORS (In thousand)</a:t>
            </a:r>
          </a:p>
        </c:rich>
      </c:tx>
      <c:layout/>
      <c:spPr>
        <a:noFill/>
        <a:ln>
          <a:noFill/>
        </a:ln>
      </c:spPr>
    </c:title>
    <c:view3D>
      <c:rotX val="15"/>
      <c:rotY val="20"/>
      <c:depthPercent val="100"/>
      <c:rAngAx val="1"/>
    </c:view3D>
    <c:plotArea>
      <c:layout>
        <c:manualLayout>
          <c:xMode val="edge"/>
          <c:yMode val="edge"/>
          <c:x val="0.01075"/>
          <c:y val="0.1"/>
          <c:w val="0.98375"/>
          <c:h val="0.88225"/>
        </c:manualLayout>
      </c:layout>
      <c:bar3DChart>
        <c:barDir val="col"/>
        <c:grouping val="clustered"/>
        <c:varyColors val="0"/>
        <c:ser>
          <c:idx val="0"/>
          <c:order val="0"/>
          <c:tx>
            <c:strRef>
              <c:f>Hoja29!$B$32</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Hoja29!$A$33:$A$54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Hoja29!$B$33:$B$54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hape val="box"/>
        </c:ser>
        <c:ser>
          <c:idx val="1"/>
          <c:order val="1"/>
          <c:tx>
            <c:strRef>
              <c:f>Hoja29!$C$32</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Hoja29!$A$33:$A$54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Hoja29!$C$33:$C$54</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hape val="box"/>
        </c:ser>
        <c:gapWidth val="80"/>
        <c:shape val="box"/>
        <c:axId val="4791763"/>
        <c:axId val="43125868"/>
      </c:bar3DChart>
      <c:catAx>
        <c:axId val="4791763"/>
        <c:scaling>
          <c:orientation val="minMax"/>
        </c:scaling>
        <c:axPos val="b"/>
        <c:delete val="0"/>
        <c:numFmt formatCode="General" sourceLinked="1"/>
        <c:majorTickMark val="out"/>
        <c:minorTickMark val="none"/>
        <c:tickLblPos val="low"/>
        <c:crossAx val="43125868"/>
        <c:crosses val="autoZero"/>
        <c:auto val="1"/>
        <c:lblOffset val="100"/>
        <c:noMultiLvlLbl val="0"/>
      </c:catAx>
      <c:valAx>
        <c:axId val="4312586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791763"/>
        <c:crossesAt val="1"/>
        <c:crossBetween val="between"/>
        <c:dispUnits/>
      </c:valAx>
      <c:dTable>
        <c:showHorzBorder val="1"/>
        <c:showVertBorder val="1"/>
        <c:showOutline val="1"/>
        <c:showKeys val="1"/>
        <c:txPr>
          <a:bodyPr vert="horz" rot="0"/>
          <a:lstStyle/>
          <a:p>
            <a:pPr>
              <a:defRPr lang="en-US" cap="none" sz="650" b="0" i="0" u="none" baseline="0">
                <a:latin typeface="Arial"/>
                <a:ea typeface="Arial"/>
                <a:cs typeface="Arial"/>
              </a:defRPr>
            </a:pPr>
          </a:p>
        </c:txPr>
      </c:dTable>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CHILE: EVOLUCION DE LOS FONDOS DE PENSIONES (Millones de US$ de cada año)
</a:t>
            </a:r>
            <a:r>
              <a:rPr lang="en-US" cap="none" sz="900" b="1" i="1" u="none" baseline="0">
                <a:solidFill>
                  <a:srgbClr val="008080"/>
                </a:solidFill>
                <a:latin typeface="Arial"/>
                <a:ea typeface="Arial"/>
                <a:cs typeface="Arial"/>
              </a:rPr>
              <a:t>CHILE: EVOLUTION OF PENSION FUNDS (US$ Million)</a:t>
            </a:r>
          </a:p>
        </c:rich>
      </c:tx>
      <c:layout>
        <c:manualLayout>
          <c:xMode val="factor"/>
          <c:yMode val="factor"/>
          <c:x val="0.01"/>
          <c:y val="-0.0135"/>
        </c:manualLayout>
      </c:layout>
      <c:spPr>
        <a:noFill/>
        <a:ln>
          <a:noFill/>
        </a:ln>
      </c:spPr>
    </c:title>
    <c:view3D>
      <c:rotX val="15"/>
      <c:rotY val="20"/>
      <c:depthPercent val="100"/>
      <c:rAngAx val="1"/>
    </c:view3D>
    <c:plotArea>
      <c:layout>
        <c:manualLayout>
          <c:xMode val="edge"/>
          <c:yMode val="edge"/>
          <c:x val="0"/>
          <c:y val="0.141"/>
          <c:w val="0.99275"/>
          <c:h val="0.85975"/>
        </c:manualLayout>
      </c:layout>
      <c:bar3DChart>
        <c:barDir val="col"/>
        <c:grouping val="clustered"/>
        <c:varyColors val="0"/>
        <c:ser>
          <c:idx val="0"/>
          <c:order val="0"/>
          <c:tx>
            <c:strRef>
              <c:f>Hoja30!$B$39</c:f>
              <c:strCache>
                <c:ptCount val="1"/>
                <c:pt idx="0">
                  <c:v>Fondo</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numRef>
              <c:f>Hoja30!$A$40:$A$61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Hoja30!$B$40:$B$61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hape val="box"/>
        </c:ser>
        <c:gapWidth val="50"/>
        <c:shape val="box"/>
        <c:axId val="52588493"/>
        <c:axId val="3534390"/>
      </c:bar3DChart>
      <c:catAx>
        <c:axId val="5258849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534390"/>
        <c:crosses val="autoZero"/>
        <c:auto val="1"/>
        <c:lblOffset val="100"/>
        <c:noMultiLvlLbl val="0"/>
      </c:catAx>
      <c:valAx>
        <c:axId val="3534390"/>
        <c:scaling>
          <c:orientation val="minMax"/>
        </c:scaling>
        <c:axPos val="l"/>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258849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ECUADOR: EVOLUCION DE LOS AFILIADOS ( En Miles)
</a:t>
            </a:r>
            <a:r>
              <a:rPr lang="en-US" cap="none" sz="900" b="1" i="1" u="none" baseline="0">
                <a:solidFill>
                  <a:srgbClr val="008080"/>
                </a:solidFill>
                <a:latin typeface="Arial"/>
                <a:ea typeface="Arial"/>
                <a:cs typeface="Arial"/>
              </a:rPr>
              <a:t>ECUADOR: EVOLUTION OF AFFILIATES (In Thousand)</a:t>
            </a:r>
          </a:p>
        </c:rich>
      </c:tx>
      <c:layout/>
      <c:spPr>
        <a:noFill/>
        <a:ln>
          <a:noFill/>
        </a:ln>
      </c:spPr>
    </c:title>
    <c:view3D>
      <c:rotX val="15"/>
      <c:rotY val="20"/>
      <c:depthPercent val="100"/>
      <c:rAngAx val="1"/>
    </c:view3D>
    <c:plotArea>
      <c:layout>
        <c:manualLayout>
          <c:xMode val="edge"/>
          <c:yMode val="edge"/>
          <c:x val="0.00225"/>
          <c:y val="0.15125"/>
          <c:w val="0.98275"/>
          <c:h val="0.7595"/>
        </c:manualLayout>
      </c:layout>
      <c:bar3DChart>
        <c:barDir val="col"/>
        <c:grouping val="clustered"/>
        <c:varyColors val="0"/>
        <c:ser>
          <c:idx val="0"/>
          <c:order val="0"/>
          <c:tx>
            <c:strRef>
              <c:f>Hoja31!$B$30</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Hoja31!$A$31:$A$38</c:f>
              <c:numCache>
                <c:ptCount val="8"/>
                <c:pt idx="0">
                  <c:v>0</c:v>
                </c:pt>
                <c:pt idx="1">
                  <c:v>0</c:v>
                </c:pt>
                <c:pt idx="2">
                  <c:v>0</c:v>
                </c:pt>
                <c:pt idx="3">
                  <c:v>0</c:v>
                </c:pt>
                <c:pt idx="4">
                  <c:v>0</c:v>
                </c:pt>
                <c:pt idx="5">
                  <c:v>0</c:v>
                </c:pt>
                <c:pt idx="6">
                  <c:v>0</c:v>
                </c:pt>
                <c:pt idx="7">
                  <c:v>0</c:v>
                </c:pt>
              </c:numCache>
            </c:numRef>
          </c:cat>
          <c:val>
            <c:numRef>
              <c:f>Hoja31!$B$31:$B$38</c:f>
              <c:numCache>
                <c:ptCount val="8"/>
                <c:pt idx="0">
                  <c:v>0</c:v>
                </c:pt>
                <c:pt idx="1">
                  <c:v>0</c:v>
                </c:pt>
                <c:pt idx="2">
                  <c:v>0</c:v>
                </c:pt>
                <c:pt idx="3">
                  <c:v>0</c:v>
                </c:pt>
                <c:pt idx="4">
                  <c:v>0</c:v>
                </c:pt>
                <c:pt idx="5">
                  <c:v>0</c:v>
                </c:pt>
                <c:pt idx="6">
                  <c:v>0</c:v>
                </c:pt>
                <c:pt idx="7">
                  <c:v>0</c:v>
                </c:pt>
              </c:numCache>
            </c:numRef>
          </c:val>
          <c:shape val="box"/>
        </c:ser>
        <c:gapWidth val="70"/>
        <c:shape val="box"/>
        <c:axId val="31809511"/>
        <c:axId val="17850144"/>
      </c:bar3DChart>
      <c:catAx>
        <c:axId val="3180951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17850144"/>
        <c:crosses val="autoZero"/>
        <c:auto val="1"/>
        <c:lblOffset val="100"/>
        <c:noMultiLvlLbl val="0"/>
      </c:catAx>
      <c:valAx>
        <c:axId val="1785014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80951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ECUADOR: EVOLUCION DE LOS FONDOS DE PENSIONES (Miles de US$)
</a:t>
            </a:r>
            <a:r>
              <a:rPr lang="en-US" cap="none" sz="900" b="1" i="1" u="none" baseline="0">
                <a:solidFill>
                  <a:srgbClr val="008080"/>
                </a:solidFill>
                <a:latin typeface="Arial"/>
                <a:ea typeface="Arial"/>
                <a:cs typeface="Arial"/>
              </a:rPr>
              <a:t>ECUADOR: EVOLUTION OF PENSION FUNDS (US$ Thousand)</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Hoja32!$A$35:$A$42</c:f>
              <c:numCache>
                <c:ptCount val="8"/>
                <c:pt idx="0">
                  <c:v>0</c:v>
                </c:pt>
                <c:pt idx="1">
                  <c:v>0</c:v>
                </c:pt>
                <c:pt idx="2">
                  <c:v>0</c:v>
                </c:pt>
                <c:pt idx="3">
                  <c:v>0</c:v>
                </c:pt>
                <c:pt idx="4">
                  <c:v>0</c:v>
                </c:pt>
                <c:pt idx="5">
                  <c:v>0</c:v>
                </c:pt>
                <c:pt idx="6">
                  <c:v>0</c:v>
                </c:pt>
                <c:pt idx="7">
                  <c:v>0</c:v>
                </c:pt>
              </c:numCache>
            </c:numRef>
          </c:cat>
          <c:val>
            <c:numRef>
              <c:f>Hoja32!$B$35:$B$42</c:f>
              <c:numCache>
                <c:ptCount val="8"/>
                <c:pt idx="0">
                  <c:v>0</c:v>
                </c:pt>
                <c:pt idx="1">
                  <c:v>0</c:v>
                </c:pt>
                <c:pt idx="2">
                  <c:v>0</c:v>
                </c:pt>
                <c:pt idx="3">
                  <c:v>0</c:v>
                </c:pt>
                <c:pt idx="4">
                  <c:v>0</c:v>
                </c:pt>
                <c:pt idx="5">
                  <c:v>0</c:v>
                </c:pt>
                <c:pt idx="6">
                  <c:v>0</c:v>
                </c:pt>
                <c:pt idx="7">
                  <c:v>0</c:v>
                </c:pt>
              </c:numCache>
            </c:numRef>
          </c:val>
          <c:shape val="box"/>
        </c:ser>
        <c:shape val="box"/>
        <c:axId val="26433569"/>
        <c:axId val="36575530"/>
      </c:bar3DChart>
      <c:catAx>
        <c:axId val="2643356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6575530"/>
        <c:crosses val="autoZero"/>
        <c:auto val="1"/>
        <c:lblOffset val="100"/>
        <c:noMultiLvlLbl val="0"/>
      </c:catAx>
      <c:valAx>
        <c:axId val="3657553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643356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2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EL SALVADOR: EVOLUCION DE LOS AFILIADOS Y COTIZANTES (En miles)
</a:t>
            </a:r>
            <a:r>
              <a:rPr lang="en-US" cap="none" sz="900" b="1" i="1" u="none" baseline="0">
                <a:solidFill>
                  <a:srgbClr val="008080"/>
                </a:solidFill>
                <a:latin typeface="Arial"/>
                <a:ea typeface="Arial"/>
                <a:cs typeface="Arial"/>
              </a:rPr>
              <a:t>EL SALVADOR: EVOLUTION OF AFFILIATES AND CONTRIBUTORS (In thousand)</a:t>
            </a:r>
          </a:p>
        </c:rich>
      </c:tx>
      <c:layout/>
      <c:spPr>
        <a:noFill/>
        <a:ln>
          <a:noFill/>
        </a:ln>
      </c:spPr>
    </c:title>
    <c:view3D>
      <c:rotX val="15"/>
      <c:rotY val="20"/>
      <c:depthPercent val="100"/>
      <c:rAngAx val="1"/>
    </c:view3D>
    <c:plotArea>
      <c:layout>
        <c:manualLayout>
          <c:xMode val="edge"/>
          <c:yMode val="edge"/>
          <c:x val="0.0135"/>
          <c:y val="0.148"/>
          <c:w val="0.868"/>
          <c:h val="0.8305"/>
        </c:manualLayout>
      </c:layout>
      <c:bar3DChart>
        <c:barDir val="col"/>
        <c:grouping val="clustered"/>
        <c:varyColors val="0"/>
        <c:ser>
          <c:idx val="0"/>
          <c:order val="0"/>
          <c:tx>
            <c:strRef>
              <c:f>Hoja33!$B$24</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Hoja33!$A$25:$A$29</c:f>
              <c:numCache>
                <c:ptCount val="5"/>
                <c:pt idx="0">
                  <c:v>0</c:v>
                </c:pt>
                <c:pt idx="1">
                  <c:v>0</c:v>
                </c:pt>
                <c:pt idx="2">
                  <c:v>0</c:v>
                </c:pt>
                <c:pt idx="3">
                  <c:v>0</c:v>
                </c:pt>
                <c:pt idx="4">
                  <c:v>0</c:v>
                </c:pt>
              </c:numCache>
            </c:numRef>
          </c:cat>
          <c:val>
            <c:numRef>
              <c:f>Hoja33!$B$25:$B$29</c:f>
              <c:numCache>
                <c:ptCount val="5"/>
                <c:pt idx="0">
                  <c:v>0</c:v>
                </c:pt>
                <c:pt idx="1">
                  <c:v>0</c:v>
                </c:pt>
                <c:pt idx="2">
                  <c:v>0</c:v>
                </c:pt>
                <c:pt idx="3">
                  <c:v>0</c:v>
                </c:pt>
                <c:pt idx="4">
                  <c:v>0</c:v>
                </c:pt>
              </c:numCache>
            </c:numRef>
          </c:val>
          <c:shape val="box"/>
        </c:ser>
        <c:ser>
          <c:idx val="1"/>
          <c:order val="1"/>
          <c:tx>
            <c:strRef>
              <c:f>Hoja33!$C$24</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Hoja33!$A$25:$A$29</c:f>
              <c:numCache>
                <c:ptCount val="5"/>
                <c:pt idx="0">
                  <c:v>0</c:v>
                </c:pt>
                <c:pt idx="1">
                  <c:v>0</c:v>
                </c:pt>
                <c:pt idx="2">
                  <c:v>0</c:v>
                </c:pt>
                <c:pt idx="3">
                  <c:v>0</c:v>
                </c:pt>
                <c:pt idx="4">
                  <c:v>0</c:v>
                </c:pt>
              </c:numCache>
            </c:numRef>
          </c:cat>
          <c:val>
            <c:numRef>
              <c:f>Hoja33!$C$25:$C$29</c:f>
              <c:numCache>
                <c:ptCount val="5"/>
                <c:pt idx="0">
                  <c:v>0</c:v>
                </c:pt>
                <c:pt idx="1">
                  <c:v>0</c:v>
                </c:pt>
                <c:pt idx="2">
                  <c:v>0</c:v>
                </c:pt>
                <c:pt idx="3">
                  <c:v>0</c:v>
                </c:pt>
                <c:pt idx="4">
                  <c:v>0</c:v>
                </c:pt>
              </c:numCache>
            </c:numRef>
          </c:val>
          <c:shape val="box"/>
        </c:ser>
        <c:gapWidth val="80"/>
        <c:shape val="box"/>
        <c:axId val="60744315"/>
        <c:axId val="9827924"/>
      </c:bar3DChart>
      <c:catAx>
        <c:axId val="6074431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9827924"/>
        <c:crosses val="autoZero"/>
        <c:auto val="1"/>
        <c:lblOffset val="100"/>
        <c:noMultiLvlLbl val="0"/>
      </c:catAx>
      <c:valAx>
        <c:axId val="982792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744315"/>
        <c:crossesAt val="1"/>
        <c:crossBetween val="between"/>
        <c:dispUnits/>
      </c:valAx>
      <c:spPr>
        <a:noFill/>
        <a:ln>
          <a:noFill/>
        </a:ln>
      </c:spPr>
    </c:plotArea>
    <c:legend>
      <c:legendPos val="r"/>
      <c:layout>
        <c:manualLayout>
          <c:xMode val="edge"/>
          <c:yMode val="edge"/>
          <c:x val="0.88525"/>
          <c:y val="0.86475"/>
        </c:manualLayout>
      </c:layout>
      <c:overlay val="0"/>
      <c:txPr>
        <a:bodyPr vert="horz" rot="0"/>
        <a:lstStyle/>
        <a:p>
          <a:pPr>
            <a:defRPr lang="en-US" cap="none" sz="1000"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EL SALVADOR: EVOLUCION DE LOS FONDOS DE PENSIONES (Millones de US$)
</a:t>
            </a:r>
            <a:r>
              <a:rPr lang="en-US" cap="none" sz="900" b="1" i="1" u="none" baseline="0">
                <a:solidFill>
                  <a:srgbClr val="008080"/>
                </a:solidFill>
                <a:latin typeface="Arial"/>
                <a:ea typeface="Arial"/>
                <a:cs typeface="Arial"/>
              </a:rPr>
              <a:t>EL SALVADOR: EVOLUTION OF PENSION FUNDS (US$ Million)</a:t>
            </a:r>
          </a:p>
        </c:rich>
      </c:tx>
      <c:layout>
        <c:manualLayout>
          <c:xMode val="factor"/>
          <c:yMode val="factor"/>
          <c:x val="-0.02225"/>
          <c:y val="0.0085"/>
        </c:manualLayout>
      </c:layout>
      <c:spPr>
        <a:noFill/>
        <a:ln>
          <a:noFill/>
        </a:ln>
      </c:spPr>
    </c:title>
    <c:view3D>
      <c:rotX val="15"/>
      <c:rotY val="20"/>
      <c:depthPercent val="100"/>
      <c:rAngAx val="1"/>
    </c:view3D>
    <c:plotArea>
      <c:layout>
        <c:manualLayout>
          <c:xMode val="edge"/>
          <c:yMode val="edge"/>
          <c:x val="0.00275"/>
          <c:y val="0.1515"/>
          <c:w val="0.94725"/>
          <c:h val="0.72975"/>
        </c:manualLayout>
      </c:layout>
      <c:bar3DChart>
        <c:barDir val="col"/>
        <c:grouping val="clustered"/>
        <c:varyColors val="0"/>
        <c:ser>
          <c:idx val="0"/>
          <c:order val="0"/>
          <c:tx>
            <c:strRef>
              <c:f>Hoja34!$B$28</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Percent val="0"/>
          </c:dLbls>
          <c:cat>
            <c:numRef>
              <c:f>Hoja34!$A$29:$A$33</c:f>
              <c:numCache>
                <c:ptCount val="5"/>
                <c:pt idx="0">
                  <c:v>0</c:v>
                </c:pt>
                <c:pt idx="1">
                  <c:v>0</c:v>
                </c:pt>
                <c:pt idx="2">
                  <c:v>0</c:v>
                </c:pt>
                <c:pt idx="3">
                  <c:v>0</c:v>
                </c:pt>
                <c:pt idx="4">
                  <c:v>0</c:v>
                </c:pt>
              </c:numCache>
            </c:numRef>
          </c:cat>
          <c:val>
            <c:numRef>
              <c:f>Hoja34!$B$29:$B$33</c:f>
              <c:numCache>
                <c:ptCount val="5"/>
                <c:pt idx="0">
                  <c:v>0</c:v>
                </c:pt>
                <c:pt idx="1">
                  <c:v>0</c:v>
                </c:pt>
                <c:pt idx="2">
                  <c:v>0</c:v>
                </c:pt>
                <c:pt idx="3">
                  <c:v>0</c:v>
                </c:pt>
                <c:pt idx="4">
                  <c:v>0</c:v>
                </c:pt>
              </c:numCache>
            </c:numRef>
          </c:val>
          <c:shape val="box"/>
        </c:ser>
        <c:gapWidth val="80"/>
        <c:shape val="box"/>
        <c:axId val="21342453"/>
        <c:axId val="57864350"/>
      </c:bar3DChart>
      <c:catAx>
        <c:axId val="2134245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7864350"/>
        <c:crosses val="autoZero"/>
        <c:auto val="1"/>
        <c:lblOffset val="100"/>
        <c:noMultiLvlLbl val="0"/>
      </c:catAx>
      <c:valAx>
        <c:axId val="5786435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1342453"/>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1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MEXICO: EVOLUCION DE LOS AFILIADOS Y COTIZANTES (En miles)
</a:t>
            </a:r>
            <a:r>
              <a:rPr lang="en-US" cap="none" sz="900" b="1" i="1" u="none" baseline="0">
                <a:solidFill>
                  <a:srgbClr val="008080"/>
                </a:solidFill>
                <a:latin typeface="Arial"/>
                <a:ea typeface="Arial"/>
                <a:cs typeface="Arial"/>
              </a:rPr>
              <a:t>MEXICO: EVOLUTION OF AFFILIATES AND CONTRIBUTORS (In thousand)</a:t>
            </a:r>
          </a:p>
        </c:rich>
      </c:tx>
      <c:layout>
        <c:manualLayout>
          <c:xMode val="factor"/>
          <c:yMode val="factor"/>
          <c:x val="0.00125"/>
          <c:y val="-0.01025"/>
        </c:manualLayout>
      </c:layout>
      <c:spPr>
        <a:noFill/>
        <a:ln>
          <a:noFill/>
        </a:ln>
      </c:spPr>
    </c:title>
    <c:view3D>
      <c:rotX val="15"/>
      <c:rotY val="20"/>
      <c:depthPercent val="100"/>
      <c:rAngAx val="1"/>
    </c:view3D>
    <c:plotArea>
      <c:layout>
        <c:manualLayout>
          <c:xMode val="edge"/>
          <c:yMode val="edge"/>
          <c:x val="0.01225"/>
          <c:y val="0.18475"/>
          <c:w val="0.8915"/>
          <c:h val="0.78775"/>
        </c:manualLayout>
      </c:layout>
      <c:bar3DChart>
        <c:barDir val="col"/>
        <c:grouping val="clustered"/>
        <c:varyColors val="0"/>
        <c:ser>
          <c:idx val="0"/>
          <c:order val="0"/>
          <c:tx>
            <c:strRef>
              <c:f>Hoja35!$B$37</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Hoja35!$A$38:$A$43</c:f>
              <c:numCache>
                <c:ptCount val="6"/>
                <c:pt idx="0">
                  <c:v>0</c:v>
                </c:pt>
                <c:pt idx="1">
                  <c:v>0</c:v>
                </c:pt>
                <c:pt idx="2">
                  <c:v>0</c:v>
                </c:pt>
                <c:pt idx="3">
                  <c:v>0</c:v>
                </c:pt>
                <c:pt idx="4">
                  <c:v>0</c:v>
                </c:pt>
                <c:pt idx="5">
                  <c:v>0</c:v>
                </c:pt>
              </c:numCache>
            </c:numRef>
          </c:cat>
          <c:val>
            <c:numRef>
              <c:f>Hoja35!$B$38:$B$43</c:f>
              <c:numCache>
                <c:ptCount val="6"/>
                <c:pt idx="0">
                  <c:v>0</c:v>
                </c:pt>
                <c:pt idx="1">
                  <c:v>0</c:v>
                </c:pt>
                <c:pt idx="2">
                  <c:v>0</c:v>
                </c:pt>
                <c:pt idx="3">
                  <c:v>0</c:v>
                </c:pt>
                <c:pt idx="4">
                  <c:v>0</c:v>
                </c:pt>
                <c:pt idx="5">
                  <c:v>0</c:v>
                </c:pt>
              </c:numCache>
            </c:numRef>
          </c:val>
          <c:shape val="box"/>
        </c:ser>
        <c:ser>
          <c:idx val="1"/>
          <c:order val="1"/>
          <c:tx>
            <c:strRef>
              <c:f>Hoja35!$C$37</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Hoja35!$A$38:$A$43</c:f>
              <c:numCache>
                <c:ptCount val="6"/>
                <c:pt idx="0">
                  <c:v>0</c:v>
                </c:pt>
                <c:pt idx="1">
                  <c:v>0</c:v>
                </c:pt>
                <c:pt idx="2">
                  <c:v>0</c:v>
                </c:pt>
                <c:pt idx="3">
                  <c:v>0</c:v>
                </c:pt>
                <c:pt idx="4">
                  <c:v>0</c:v>
                </c:pt>
                <c:pt idx="5">
                  <c:v>0</c:v>
                </c:pt>
              </c:numCache>
            </c:numRef>
          </c:cat>
          <c:val>
            <c:numRef>
              <c:f>Hoja35!$C$38:$C$43</c:f>
              <c:numCache>
                <c:ptCount val="6"/>
                <c:pt idx="0">
                  <c:v>0</c:v>
                </c:pt>
                <c:pt idx="1">
                  <c:v>0</c:v>
                </c:pt>
                <c:pt idx="2">
                  <c:v>0</c:v>
                </c:pt>
                <c:pt idx="3">
                  <c:v>0</c:v>
                </c:pt>
                <c:pt idx="4">
                  <c:v>0</c:v>
                </c:pt>
                <c:pt idx="5">
                  <c:v>0</c:v>
                </c:pt>
              </c:numCache>
            </c:numRef>
          </c:val>
          <c:shape val="box"/>
        </c:ser>
        <c:shape val="box"/>
        <c:axId val="51017103"/>
        <c:axId val="56500744"/>
      </c:bar3DChart>
      <c:catAx>
        <c:axId val="5101710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6500744"/>
        <c:crosses val="autoZero"/>
        <c:auto val="1"/>
        <c:lblOffset val="100"/>
        <c:noMultiLvlLbl val="0"/>
      </c:catAx>
      <c:valAx>
        <c:axId val="5650074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017103"/>
        <c:crossesAt val="1"/>
        <c:crossBetween val="between"/>
        <c:dispUnits/>
      </c:valAx>
      <c:spPr>
        <a:noFill/>
        <a:ln>
          <a:noFill/>
        </a:ln>
      </c:spPr>
    </c:plotArea>
    <c:legend>
      <c:legendPos val="r"/>
      <c:layout>
        <c:manualLayout>
          <c:xMode val="edge"/>
          <c:yMode val="edge"/>
          <c:x val="0.8905"/>
          <c:y val="0.8295"/>
        </c:manualLayout>
      </c:layout>
      <c:overlay val="0"/>
      <c:txPr>
        <a:bodyPr vert="horz" rot="0"/>
        <a:lstStyle/>
        <a:p>
          <a:pPr>
            <a:defRPr lang="en-US" cap="none" sz="800"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ARGENTINA: EVOLUCION DE LOS FONDOS DE PENSIONES (Millones de US$)
</a:t>
            </a:r>
            <a:r>
              <a:rPr lang="en-US" cap="none" sz="800" b="1" i="1" u="none" baseline="0">
                <a:solidFill>
                  <a:srgbClr val="008080"/>
                </a:solidFill>
                <a:latin typeface="Arial"/>
                <a:ea typeface="Arial"/>
                <a:cs typeface="Arial"/>
              </a:rPr>
              <a:t>ARGENTINA: EVOLUTION OF PENSION FUNDS (US$ Million)</a:t>
            </a:r>
            <a:r>
              <a:rPr lang="en-US" cap="none" sz="800" b="1" i="0" u="none" baseline="0">
                <a:latin typeface="Arial"/>
                <a:ea typeface="Arial"/>
                <a:cs typeface="Arial"/>
              </a:rPr>
              <a:t>
</a:t>
            </a:r>
          </a:p>
        </c:rich>
      </c:tx>
      <c:layout>
        <c:manualLayout>
          <c:xMode val="factor"/>
          <c:yMode val="factor"/>
          <c:x val="-0.01"/>
          <c:y val="-0.01925"/>
        </c:manualLayout>
      </c:layout>
      <c:spPr>
        <a:noFill/>
        <a:ln>
          <a:noFill/>
        </a:ln>
      </c:spPr>
    </c:title>
    <c:view3D>
      <c:rotX val="15"/>
      <c:rotY val="20"/>
      <c:depthPercent val="100"/>
      <c:rAngAx val="1"/>
    </c:view3D>
    <c:plotArea>
      <c:layout>
        <c:manualLayout>
          <c:xMode val="edge"/>
          <c:yMode val="edge"/>
          <c:x val="0.01475"/>
          <c:y val="0.199"/>
          <c:w val="0.91"/>
          <c:h val="0.78575"/>
        </c:manualLayout>
      </c:layout>
      <c:bar3DChart>
        <c:barDir val="col"/>
        <c:grouping val="clustered"/>
        <c:varyColors val="0"/>
        <c:ser>
          <c:idx val="0"/>
          <c:order val="0"/>
          <c:tx>
            <c:strRef>
              <c:f>Hoja19!$B$43</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Hoja19!$A$44:$A$52</c:f>
              <c:numCache>
                <c:ptCount val="9"/>
                <c:pt idx="0">
                  <c:v>0</c:v>
                </c:pt>
                <c:pt idx="1">
                  <c:v>0</c:v>
                </c:pt>
                <c:pt idx="2">
                  <c:v>0</c:v>
                </c:pt>
                <c:pt idx="3">
                  <c:v>0</c:v>
                </c:pt>
                <c:pt idx="4">
                  <c:v>0</c:v>
                </c:pt>
                <c:pt idx="5">
                  <c:v>0</c:v>
                </c:pt>
                <c:pt idx="6">
                  <c:v>0</c:v>
                </c:pt>
                <c:pt idx="7">
                  <c:v>0</c:v>
                </c:pt>
                <c:pt idx="8">
                  <c:v>0</c:v>
                </c:pt>
              </c:numCache>
            </c:numRef>
          </c:cat>
          <c:val>
            <c:numRef>
              <c:f>Hoja19!$B$44:$B$52</c:f>
              <c:numCache>
                <c:ptCount val="9"/>
                <c:pt idx="0">
                  <c:v>0</c:v>
                </c:pt>
                <c:pt idx="1">
                  <c:v>0</c:v>
                </c:pt>
                <c:pt idx="2">
                  <c:v>0</c:v>
                </c:pt>
                <c:pt idx="3">
                  <c:v>0</c:v>
                </c:pt>
                <c:pt idx="4">
                  <c:v>0</c:v>
                </c:pt>
                <c:pt idx="5">
                  <c:v>0</c:v>
                </c:pt>
                <c:pt idx="6">
                  <c:v>0</c:v>
                </c:pt>
                <c:pt idx="7">
                  <c:v>0</c:v>
                </c:pt>
                <c:pt idx="8">
                  <c:v>0</c:v>
                </c:pt>
              </c:numCache>
            </c:numRef>
          </c:val>
          <c:shape val="box"/>
        </c:ser>
        <c:gapWidth val="60"/>
        <c:shape val="box"/>
        <c:axId val="36769877"/>
        <c:axId val="62493438"/>
      </c:bar3DChart>
      <c:catAx>
        <c:axId val="36769877"/>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2493438"/>
        <c:crosses val="autoZero"/>
        <c:auto val="1"/>
        <c:lblOffset val="100"/>
        <c:noMultiLvlLbl val="0"/>
      </c:catAx>
      <c:valAx>
        <c:axId val="6249343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76987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MEXICO: EVOLUCION DE LOS FONDOS DE PENSIONES (Millones de US$)
</a:t>
            </a:r>
            <a:r>
              <a:rPr lang="en-US" cap="none" sz="900" b="1" i="1" u="none" baseline="0">
                <a:solidFill>
                  <a:srgbClr val="008080"/>
                </a:solidFill>
                <a:latin typeface="Arial"/>
                <a:ea typeface="Arial"/>
                <a:cs typeface="Arial"/>
              </a:rPr>
              <a:t>MEXICO: EVOLUTION OF PENSION FUNDS (US$ Million)</a:t>
            </a:r>
          </a:p>
        </c:rich>
      </c:tx>
      <c:layout>
        <c:manualLayout>
          <c:xMode val="factor"/>
          <c:yMode val="factor"/>
          <c:x val="0"/>
          <c:y val="-0.01125"/>
        </c:manualLayout>
      </c:layout>
      <c:spPr>
        <a:noFill/>
        <a:ln>
          <a:noFill/>
        </a:ln>
      </c:spPr>
    </c:title>
    <c:view3D>
      <c:rotX val="15"/>
      <c:rotY val="20"/>
      <c:depthPercent val="100"/>
      <c:rAngAx val="1"/>
    </c:view3D>
    <c:plotArea>
      <c:layout>
        <c:manualLayout>
          <c:xMode val="edge"/>
          <c:yMode val="edge"/>
          <c:x val="0.01275"/>
          <c:y val="0.22075"/>
          <c:w val="0.97525"/>
          <c:h val="0.74225"/>
        </c:manualLayout>
      </c:layout>
      <c:bar3DChart>
        <c:barDir val="col"/>
        <c:grouping val="clustered"/>
        <c:varyColors val="0"/>
        <c:ser>
          <c:idx val="0"/>
          <c:order val="0"/>
          <c:tx>
            <c:strRef>
              <c:f>Hoja36!$B$43</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Hoja36!$A$44:$A$49</c:f>
              <c:numCache>
                <c:ptCount val="6"/>
                <c:pt idx="0">
                  <c:v>0</c:v>
                </c:pt>
                <c:pt idx="1">
                  <c:v>0</c:v>
                </c:pt>
                <c:pt idx="2">
                  <c:v>0</c:v>
                </c:pt>
                <c:pt idx="3">
                  <c:v>0</c:v>
                </c:pt>
                <c:pt idx="4">
                  <c:v>0</c:v>
                </c:pt>
                <c:pt idx="5">
                  <c:v>0</c:v>
                </c:pt>
              </c:numCache>
            </c:numRef>
          </c:cat>
          <c:val>
            <c:numRef>
              <c:f>Hoja36!$B$44:$B$49</c:f>
              <c:numCache>
                <c:ptCount val="6"/>
                <c:pt idx="0">
                  <c:v>0</c:v>
                </c:pt>
                <c:pt idx="1">
                  <c:v>0</c:v>
                </c:pt>
                <c:pt idx="2">
                  <c:v>0</c:v>
                </c:pt>
                <c:pt idx="3">
                  <c:v>0</c:v>
                </c:pt>
                <c:pt idx="4">
                  <c:v>0</c:v>
                </c:pt>
                <c:pt idx="5">
                  <c:v>0</c:v>
                </c:pt>
              </c:numCache>
            </c:numRef>
          </c:val>
          <c:shape val="box"/>
        </c:ser>
        <c:shape val="box"/>
        <c:axId val="38744649"/>
        <c:axId val="13157522"/>
      </c:bar3DChart>
      <c:catAx>
        <c:axId val="3874464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13157522"/>
        <c:crosses val="autoZero"/>
        <c:auto val="1"/>
        <c:lblOffset val="100"/>
        <c:noMultiLvlLbl val="0"/>
      </c:catAx>
      <c:valAx>
        <c:axId val="1315752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874464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PANAMA: EVOLUCION DE LOS AFILIADOS (En miles)
</a:t>
            </a:r>
            <a:r>
              <a:rPr lang="en-US" cap="none" sz="900" b="1" i="1" u="none" baseline="0">
                <a:solidFill>
                  <a:srgbClr val="008080"/>
                </a:solidFill>
                <a:latin typeface="Arial"/>
                <a:ea typeface="Arial"/>
                <a:cs typeface="Arial"/>
              </a:rPr>
              <a:t>PANAMA: EVOLUTION OF AFFILIATES (In thousand)</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Hoja37!$A$31:$A$34</c:f>
              <c:numCache>
                <c:ptCount val="4"/>
                <c:pt idx="0">
                  <c:v>0</c:v>
                </c:pt>
                <c:pt idx="1">
                  <c:v>0</c:v>
                </c:pt>
                <c:pt idx="2">
                  <c:v>0</c:v>
                </c:pt>
                <c:pt idx="3">
                  <c:v>0</c:v>
                </c:pt>
              </c:numCache>
            </c:numRef>
          </c:cat>
          <c:val>
            <c:numRef>
              <c:f>Hoja37!$B$31:$B$34</c:f>
              <c:numCache>
                <c:ptCount val="4"/>
                <c:pt idx="0">
                  <c:v>0</c:v>
                </c:pt>
                <c:pt idx="1">
                  <c:v>0</c:v>
                </c:pt>
                <c:pt idx="2">
                  <c:v>0</c:v>
                </c:pt>
                <c:pt idx="3">
                  <c:v>0</c:v>
                </c:pt>
              </c:numCache>
            </c:numRef>
          </c:val>
          <c:shape val="box"/>
        </c:ser>
        <c:shape val="box"/>
        <c:axId val="51308835"/>
        <c:axId val="59126332"/>
      </c:bar3DChart>
      <c:catAx>
        <c:axId val="5130883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9126332"/>
        <c:crosses val="autoZero"/>
        <c:auto val="1"/>
        <c:lblOffset val="100"/>
        <c:noMultiLvlLbl val="0"/>
      </c:catAx>
      <c:valAx>
        <c:axId val="5912633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30883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PANAMA: EVOLUCION DE LOS FONDOS DE PENSIONES (Millones de US$)
</a:t>
            </a:r>
            <a:r>
              <a:rPr lang="en-US" cap="none" sz="900" b="1" i="1" u="none" baseline="0">
                <a:solidFill>
                  <a:srgbClr val="008080"/>
                </a:solidFill>
                <a:latin typeface="Arial"/>
                <a:ea typeface="Arial"/>
                <a:cs typeface="Arial"/>
              </a:rPr>
              <a:t>PANAMA: EVOLUTION OF PENSION FUNDS (US$ Million)</a:t>
            </a:r>
          </a:p>
        </c:rich>
      </c:tx>
      <c:layout/>
      <c:spPr>
        <a:noFill/>
        <a:ln>
          <a:noFill/>
        </a:ln>
      </c:spPr>
    </c:title>
    <c:view3D>
      <c:rotX val="15"/>
      <c:rotY val="20"/>
      <c:depthPercent val="100"/>
      <c:rAngAx val="1"/>
    </c:view3D>
    <c:plotArea>
      <c:layout>
        <c:manualLayout>
          <c:xMode val="edge"/>
          <c:yMode val="edge"/>
          <c:x val="0.016"/>
          <c:y val="0.14275"/>
          <c:w val="0.91975"/>
          <c:h val="0.82275"/>
        </c:manualLayout>
      </c:layout>
      <c:bar3DChart>
        <c:barDir val="col"/>
        <c:grouping val="clustered"/>
        <c:varyColors val="0"/>
        <c:ser>
          <c:idx val="0"/>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Hoja38!$A$34:$A$37</c:f>
              <c:numCache>
                <c:ptCount val="4"/>
                <c:pt idx="0">
                  <c:v>0</c:v>
                </c:pt>
                <c:pt idx="1">
                  <c:v>0</c:v>
                </c:pt>
                <c:pt idx="2">
                  <c:v>0</c:v>
                </c:pt>
                <c:pt idx="3">
                  <c:v>0</c:v>
                </c:pt>
              </c:numCache>
            </c:numRef>
          </c:cat>
          <c:val>
            <c:numRef>
              <c:f>Hoja38!$B$34:$B$37</c:f>
              <c:numCache>
                <c:ptCount val="4"/>
                <c:pt idx="0">
                  <c:v>0</c:v>
                </c:pt>
                <c:pt idx="1">
                  <c:v>0</c:v>
                </c:pt>
                <c:pt idx="2">
                  <c:v>0</c:v>
                </c:pt>
                <c:pt idx="3">
                  <c:v>0</c:v>
                </c:pt>
              </c:numCache>
            </c:numRef>
          </c:val>
          <c:shape val="box"/>
        </c:ser>
        <c:shape val="box"/>
        <c:axId val="62374941"/>
        <c:axId val="24503558"/>
      </c:bar3DChart>
      <c:catAx>
        <c:axId val="6237494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24503558"/>
        <c:crosses val="autoZero"/>
        <c:auto val="1"/>
        <c:lblOffset val="100"/>
        <c:noMultiLvlLbl val="0"/>
      </c:catAx>
      <c:valAx>
        <c:axId val="2450355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37494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PERU: EVOLUCION DE LOS AFILIADOS Y COTIZANTES (En miles)
</a:t>
            </a:r>
            <a:r>
              <a:rPr lang="en-US" cap="none" sz="900" b="1" i="1" u="none" baseline="0">
                <a:solidFill>
                  <a:srgbClr val="008080"/>
                </a:solidFill>
                <a:latin typeface="Arial"/>
                <a:ea typeface="Arial"/>
                <a:cs typeface="Arial"/>
              </a:rPr>
              <a:t>PERU: EVOLUTION OF AFFILIATES AND CONTRIBUTORS (In thousand)</a:t>
            </a:r>
          </a:p>
        </c:rich>
      </c:tx>
      <c:layout>
        <c:manualLayout>
          <c:xMode val="factor"/>
          <c:yMode val="factor"/>
          <c:x val="0.00125"/>
          <c:y val="-0.012"/>
        </c:manualLayout>
      </c:layout>
      <c:spPr>
        <a:noFill/>
        <a:ln>
          <a:noFill/>
        </a:ln>
      </c:spPr>
    </c:title>
    <c:view3D>
      <c:rotX val="15"/>
      <c:rotY val="20"/>
      <c:depthPercent val="100"/>
      <c:rAngAx val="1"/>
    </c:view3D>
    <c:plotArea>
      <c:layout>
        <c:manualLayout>
          <c:xMode val="edge"/>
          <c:yMode val="edge"/>
          <c:x val="0.0125"/>
          <c:y val="0.1015"/>
          <c:w val="0.87"/>
          <c:h val="0.87675"/>
        </c:manualLayout>
      </c:layout>
      <c:bar3DChart>
        <c:barDir val="col"/>
        <c:grouping val="clustered"/>
        <c:varyColors val="0"/>
        <c:ser>
          <c:idx val="0"/>
          <c:order val="0"/>
          <c:tx>
            <c:strRef>
              <c:f>Hoja39!$B$25</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Hoja39!$A$26:$A$35</c:f>
              <c:numCache>
                <c:ptCount val="10"/>
                <c:pt idx="0">
                  <c:v>0</c:v>
                </c:pt>
                <c:pt idx="1">
                  <c:v>0</c:v>
                </c:pt>
                <c:pt idx="2">
                  <c:v>0</c:v>
                </c:pt>
                <c:pt idx="3">
                  <c:v>0</c:v>
                </c:pt>
                <c:pt idx="4">
                  <c:v>0</c:v>
                </c:pt>
                <c:pt idx="5">
                  <c:v>0</c:v>
                </c:pt>
                <c:pt idx="6">
                  <c:v>0</c:v>
                </c:pt>
                <c:pt idx="7">
                  <c:v>0</c:v>
                </c:pt>
                <c:pt idx="8">
                  <c:v>0</c:v>
                </c:pt>
                <c:pt idx="9">
                  <c:v>0</c:v>
                </c:pt>
              </c:numCache>
            </c:numRef>
          </c:cat>
          <c:val>
            <c:numRef>
              <c:f>Hoja39!$B$26:$B$35</c:f>
              <c:numCache>
                <c:ptCount val="10"/>
                <c:pt idx="0">
                  <c:v>0</c:v>
                </c:pt>
                <c:pt idx="1">
                  <c:v>0</c:v>
                </c:pt>
                <c:pt idx="2">
                  <c:v>0</c:v>
                </c:pt>
                <c:pt idx="3">
                  <c:v>0</c:v>
                </c:pt>
                <c:pt idx="4">
                  <c:v>0</c:v>
                </c:pt>
                <c:pt idx="5">
                  <c:v>0</c:v>
                </c:pt>
                <c:pt idx="6">
                  <c:v>0</c:v>
                </c:pt>
                <c:pt idx="7">
                  <c:v>0</c:v>
                </c:pt>
                <c:pt idx="8">
                  <c:v>0</c:v>
                </c:pt>
                <c:pt idx="9">
                  <c:v>0</c:v>
                </c:pt>
              </c:numCache>
            </c:numRef>
          </c:val>
          <c:shape val="box"/>
        </c:ser>
        <c:ser>
          <c:idx val="1"/>
          <c:order val="1"/>
          <c:tx>
            <c:strRef>
              <c:f>Hoja39!$C$25</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Hoja39!$A$26:$A$35</c:f>
              <c:numCache>
                <c:ptCount val="10"/>
                <c:pt idx="0">
                  <c:v>0</c:v>
                </c:pt>
                <c:pt idx="1">
                  <c:v>0</c:v>
                </c:pt>
                <c:pt idx="2">
                  <c:v>0</c:v>
                </c:pt>
                <c:pt idx="3">
                  <c:v>0</c:v>
                </c:pt>
                <c:pt idx="4">
                  <c:v>0</c:v>
                </c:pt>
                <c:pt idx="5">
                  <c:v>0</c:v>
                </c:pt>
                <c:pt idx="6">
                  <c:v>0</c:v>
                </c:pt>
                <c:pt idx="7">
                  <c:v>0</c:v>
                </c:pt>
                <c:pt idx="8">
                  <c:v>0</c:v>
                </c:pt>
                <c:pt idx="9">
                  <c:v>0</c:v>
                </c:pt>
              </c:numCache>
            </c:numRef>
          </c:cat>
          <c:val>
            <c:numRef>
              <c:f>Hoja39!$C$26:$C$35</c:f>
              <c:numCache>
                <c:ptCount val="10"/>
                <c:pt idx="0">
                  <c:v>0</c:v>
                </c:pt>
                <c:pt idx="1">
                  <c:v>0</c:v>
                </c:pt>
                <c:pt idx="2">
                  <c:v>0</c:v>
                </c:pt>
                <c:pt idx="3">
                  <c:v>0</c:v>
                </c:pt>
                <c:pt idx="4">
                  <c:v>0</c:v>
                </c:pt>
                <c:pt idx="5">
                  <c:v>0</c:v>
                </c:pt>
                <c:pt idx="6">
                  <c:v>0</c:v>
                </c:pt>
                <c:pt idx="7">
                  <c:v>0</c:v>
                </c:pt>
                <c:pt idx="8">
                  <c:v>0</c:v>
                </c:pt>
                <c:pt idx="9">
                  <c:v>0</c:v>
                </c:pt>
              </c:numCache>
            </c:numRef>
          </c:val>
          <c:shape val="box"/>
        </c:ser>
        <c:gapWidth val="60"/>
        <c:shape val="box"/>
        <c:axId val="19205431"/>
        <c:axId val="38631152"/>
      </c:bar3DChart>
      <c:catAx>
        <c:axId val="1920543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8631152"/>
        <c:crosses val="autoZero"/>
        <c:auto val="1"/>
        <c:lblOffset val="100"/>
        <c:noMultiLvlLbl val="0"/>
      </c:catAx>
      <c:valAx>
        <c:axId val="3863115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9205431"/>
        <c:crossesAt val="1"/>
        <c:crossBetween val="between"/>
        <c:dispUnits/>
      </c:valAx>
      <c:spPr>
        <a:noFill/>
        <a:ln>
          <a:noFill/>
        </a:ln>
      </c:spPr>
    </c:plotArea>
    <c:legend>
      <c:legendPos val="r"/>
      <c:layout>
        <c:manualLayout>
          <c:xMode val="edge"/>
          <c:yMode val="edge"/>
          <c:x val="0.88525"/>
          <c:y val="0.87525"/>
        </c:manualLayout>
      </c:layout>
      <c:overlay val="0"/>
      <c:txPr>
        <a:bodyPr vert="horz" rot="0"/>
        <a:lstStyle/>
        <a:p>
          <a:pPr>
            <a:defRPr lang="en-US" cap="none" sz="975"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PERU: EVOLUCION DE LOS FONDOS DE PENSIONES (Millones de US$)
</a:t>
            </a:r>
            <a:r>
              <a:rPr lang="en-US" cap="none" sz="900" b="1" i="1" u="none" baseline="0">
                <a:solidFill>
                  <a:srgbClr val="008080"/>
                </a:solidFill>
                <a:latin typeface="Arial"/>
                <a:ea typeface="Arial"/>
                <a:cs typeface="Arial"/>
              </a:rPr>
              <a:t>PERU: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0"/>
          <c:order val="0"/>
          <c:tx>
            <c:strRef>
              <c:f>Hoja40!$B$27</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Hoja40!$A$28:$A$37</c:f>
              <c:numCache>
                <c:ptCount val="10"/>
                <c:pt idx="0">
                  <c:v>0</c:v>
                </c:pt>
                <c:pt idx="1">
                  <c:v>0</c:v>
                </c:pt>
                <c:pt idx="2">
                  <c:v>0</c:v>
                </c:pt>
                <c:pt idx="3">
                  <c:v>0</c:v>
                </c:pt>
                <c:pt idx="4">
                  <c:v>0</c:v>
                </c:pt>
                <c:pt idx="5">
                  <c:v>0</c:v>
                </c:pt>
                <c:pt idx="6">
                  <c:v>0</c:v>
                </c:pt>
                <c:pt idx="7">
                  <c:v>0</c:v>
                </c:pt>
                <c:pt idx="8">
                  <c:v>0</c:v>
                </c:pt>
                <c:pt idx="9">
                  <c:v>0</c:v>
                </c:pt>
              </c:numCache>
            </c:numRef>
          </c:cat>
          <c:val>
            <c:numRef>
              <c:f>Hoja40!$B$28:$B$37</c:f>
              <c:numCache>
                <c:ptCount val="10"/>
                <c:pt idx="0">
                  <c:v>0</c:v>
                </c:pt>
                <c:pt idx="1">
                  <c:v>0</c:v>
                </c:pt>
                <c:pt idx="2">
                  <c:v>0</c:v>
                </c:pt>
                <c:pt idx="3">
                  <c:v>0</c:v>
                </c:pt>
                <c:pt idx="4">
                  <c:v>0</c:v>
                </c:pt>
                <c:pt idx="5">
                  <c:v>0</c:v>
                </c:pt>
                <c:pt idx="6">
                  <c:v>0</c:v>
                </c:pt>
                <c:pt idx="7">
                  <c:v>0</c:v>
                </c:pt>
                <c:pt idx="8">
                  <c:v>0</c:v>
                </c:pt>
                <c:pt idx="9">
                  <c:v>0</c:v>
                </c:pt>
              </c:numCache>
            </c:numRef>
          </c:val>
          <c:shape val="box"/>
        </c:ser>
        <c:gapWidth val="80"/>
        <c:shape val="box"/>
        <c:axId val="12136049"/>
        <c:axId val="42115578"/>
      </c:bar3DChart>
      <c:catAx>
        <c:axId val="1213604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42115578"/>
        <c:crosses val="autoZero"/>
        <c:auto val="1"/>
        <c:lblOffset val="100"/>
        <c:noMultiLvlLbl val="0"/>
      </c:catAx>
      <c:valAx>
        <c:axId val="4211557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2136049"/>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1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URUGUAY: EVOLUCION DE LOS AFILIADOS Y COTIZANTES (En miles)
</a:t>
            </a:r>
            <a:r>
              <a:rPr lang="en-US" cap="none" sz="900" b="1" i="1" u="none" baseline="0">
                <a:solidFill>
                  <a:srgbClr val="008080"/>
                </a:solidFill>
                <a:latin typeface="Arial"/>
                <a:ea typeface="Arial"/>
                <a:cs typeface="Arial"/>
              </a:rPr>
              <a:t>URUGUAY: EVOLUTION OF AFFILIATES AND CONTRIBUTORS (In thousand)</a:t>
            </a:r>
          </a:p>
        </c:rich>
      </c:tx>
      <c:layout>
        <c:manualLayout>
          <c:xMode val="factor"/>
          <c:yMode val="factor"/>
          <c:x val="0.009"/>
          <c:y val="-0.003"/>
        </c:manualLayout>
      </c:layout>
      <c:spPr>
        <a:noFill/>
        <a:ln>
          <a:noFill/>
        </a:ln>
      </c:spPr>
    </c:title>
    <c:view3D>
      <c:rotX val="15"/>
      <c:rotY val="20"/>
      <c:depthPercent val="100"/>
      <c:rAngAx val="1"/>
    </c:view3D>
    <c:plotArea>
      <c:layout>
        <c:manualLayout>
          <c:xMode val="edge"/>
          <c:yMode val="edge"/>
          <c:x val="0.0135"/>
          <c:y val="0.1495"/>
          <c:w val="0.89125"/>
          <c:h val="0.82975"/>
        </c:manualLayout>
      </c:layout>
      <c:bar3DChart>
        <c:barDir val="col"/>
        <c:grouping val="clustered"/>
        <c:varyColors val="0"/>
        <c:ser>
          <c:idx val="0"/>
          <c:order val="0"/>
          <c:tx>
            <c:strRef>
              <c:f>Hoja42!$B$24</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Hoja42!$A$25:$A$31</c:f>
              <c:numCache>
                <c:ptCount val="7"/>
                <c:pt idx="0">
                  <c:v>0</c:v>
                </c:pt>
                <c:pt idx="1">
                  <c:v>0</c:v>
                </c:pt>
                <c:pt idx="2">
                  <c:v>0</c:v>
                </c:pt>
                <c:pt idx="3">
                  <c:v>0</c:v>
                </c:pt>
                <c:pt idx="4">
                  <c:v>0</c:v>
                </c:pt>
                <c:pt idx="5">
                  <c:v>0</c:v>
                </c:pt>
                <c:pt idx="6">
                  <c:v>0</c:v>
                </c:pt>
              </c:numCache>
            </c:numRef>
          </c:cat>
          <c:val>
            <c:numRef>
              <c:f>Hoja42!$B$25:$B$31</c:f>
              <c:numCache>
                <c:ptCount val="7"/>
                <c:pt idx="0">
                  <c:v>0</c:v>
                </c:pt>
                <c:pt idx="1">
                  <c:v>0</c:v>
                </c:pt>
                <c:pt idx="2">
                  <c:v>0</c:v>
                </c:pt>
                <c:pt idx="3">
                  <c:v>0</c:v>
                </c:pt>
                <c:pt idx="4">
                  <c:v>0</c:v>
                </c:pt>
                <c:pt idx="5">
                  <c:v>0</c:v>
                </c:pt>
                <c:pt idx="6">
                  <c:v>0</c:v>
                </c:pt>
              </c:numCache>
            </c:numRef>
          </c:val>
          <c:shape val="box"/>
        </c:ser>
        <c:ser>
          <c:idx val="1"/>
          <c:order val="1"/>
          <c:tx>
            <c:strRef>
              <c:f>Hoja42!$C$24</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Hoja42!$A$25:$A$31</c:f>
              <c:numCache>
                <c:ptCount val="7"/>
                <c:pt idx="0">
                  <c:v>0</c:v>
                </c:pt>
                <c:pt idx="1">
                  <c:v>0</c:v>
                </c:pt>
                <c:pt idx="2">
                  <c:v>0</c:v>
                </c:pt>
                <c:pt idx="3">
                  <c:v>0</c:v>
                </c:pt>
                <c:pt idx="4">
                  <c:v>0</c:v>
                </c:pt>
                <c:pt idx="5">
                  <c:v>0</c:v>
                </c:pt>
                <c:pt idx="6">
                  <c:v>0</c:v>
                </c:pt>
              </c:numCache>
            </c:numRef>
          </c:cat>
          <c:val>
            <c:numRef>
              <c:f>Hoja42!$C$25:$C$31</c:f>
              <c:numCache>
                <c:ptCount val="7"/>
                <c:pt idx="0">
                  <c:v>0</c:v>
                </c:pt>
                <c:pt idx="1">
                  <c:v>0</c:v>
                </c:pt>
                <c:pt idx="2">
                  <c:v>0</c:v>
                </c:pt>
                <c:pt idx="3">
                  <c:v>0</c:v>
                </c:pt>
                <c:pt idx="4">
                  <c:v>0</c:v>
                </c:pt>
                <c:pt idx="5">
                  <c:v>0</c:v>
                </c:pt>
                <c:pt idx="6">
                  <c:v>0</c:v>
                </c:pt>
              </c:numCache>
            </c:numRef>
          </c:val>
          <c:shape val="box"/>
        </c:ser>
        <c:gapWidth val="80"/>
        <c:shape val="box"/>
        <c:axId val="43495883"/>
        <c:axId val="55918628"/>
      </c:bar3DChart>
      <c:catAx>
        <c:axId val="4349588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5918628"/>
        <c:crosses val="autoZero"/>
        <c:auto val="1"/>
        <c:lblOffset val="100"/>
        <c:noMultiLvlLbl val="0"/>
      </c:catAx>
      <c:valAx>
        <c:axId val="5591862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3495883"/>
        <c:crossesAt val="1"/>
        <c:crossBetween val="between"/>
        <c:dispUnits/>
      </c:valAx>
      <c:spPr>
        <a:noFill/>
        <a:ln>
          <a:noFill/>
        </a:ln>
      </c:spPr>
    </c:plotArea>
    <c:legend>
      <c:legendPos val="r"/>
      <c:layout>
        <c:manualLayout>
          <c:xMode val="edge"/>
          <c:yMode val="edge"/>
          <c:x val="0.885"/>
          <c:y val="0.889"/>
        </c:manualLayout>
      </c:layout>
      <c:overlay val="0"/>
      <c:txPr>
        <a:bodyPr vert="horz" rot="0"/>
        <a:lstStyle/>
        <a:p>
          <a:pPr>
            <a:defRPr lang="en-US" cap="none" sz="975"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URUGUAY: EVOLUCION DE LOS FONDOS DE PENSIONES (Millones de US$)
</a:t>
            </a:r>
            <a:r>
              <a:rPr lang="en-US" cap="none" sz="900" b="1" i="1" u="none" baseline="0">
                <a:solidFill>
                  <a:srgbClr val="008080"/>
                </a:solidFill>
                <a:latin typeface="Arial"/>
                <a:ea typeface="Arial"/>
                <a:cs typeface="Arial"/>
              </a:rPr>
              <a:t>URUGUAY: EVOLUTION OF PENSION FUNDS (US$ million)</a:t>
            </a:r>
          </a:p>
        </c:rich>
      </c:tx>
      <c:layout>
        <c:manualLayout>
          <c:xMode val="factor"/>
          <c:yMode val="factor"/>
          <c:x val="0.0015"/>
          <c:y val="-0.01375"/>
        </c:manualLayout>
      </c:layout>
      <c:spPr>
        <a:noFill/>
        <a:ln>
          <a:noFill/>
        </a:ln>
      </c:spPr>
    </c:title>
    <c:view3D>
      <c:rotX val="15"/>
      <c:rotY val="20"/>
      <c:depthPercent val="100"/>
      <c:rAngAx val="1"/>
    </c:view3D>
    <c:plotArea>
      <c:layout>
        <c:manualLayout>
          <c:xMode val="edge"/>
          <c:yMode val="edge"/>
          <c:x val="0.0115"/>
          <c:y val="0.1295"/>
          <c:w val="0.90925"/>
          <c:h val="0.8455"/>
        </c:manualLayout>
      </c:layout>
      <c:bar3DChart>
        <c:barDir val="col"/>
        <c:grouping val="clustered"/>
        <c:varyColors val="0"/>
        <c:ser>
          <c:idx val="0"/>
          <c:order val="0"/>
          <c:tx>
            <c:strRef>
              <c:f>Hoja43!$B$26</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Hoja43!$A$27:$A$33</c:f>
              <c:numCache>
                <c:ptCount val="7"/>
                <c:pt idx="0">
                  <c:v>0</c:v>
                </c:pt>
                <c:pt idx="1">
                  <c:v>0</c:v>
                </c:pt>
                <c:pt idx="2">
                  <c:v>0</c:v>
                </c:pt>
                <c:pt idx="3">
                  <c:v>0</c:v>
                </c:pt>
                <c:pt idx="4">
                  <c:v>0</c:v>
                </c:pt>
                <c:pt idx="5">
                  <c:v>0</c:v>
                </c:pt>
                <c:pt idx="6">
                  <c:v>0</c:v>
                </c:pt>
              </c:numCache>
            </c:numRef>
          </c:cat>
          <c:val>
            <c:numRef>
              <c:f>Hoja43!$B$27:$B$33</c:f>
              <c:numCache>
                <c:ptCount val="7"/>
                <c:pt idx="0">
                  <c:v>0</c:v>
                </c:pt>
                <c:pt idx="1">
                  <c:v>0</c:v>
                </c:pt>
                <c:pt idx="2">
                  <c:v>0</c:v>
                </c:pt>
                <c:pt idx="3">
                  <c:v>0</c:v>
                </c:pt>
                <c:pt idx="4">
                  <c:v>0</c:v>
                </c:pt>
                <c:pt idx="5">
                  <c:v>0</c:v>
                </c:pt>
                <c:pt idx="6">
                  <c:v>0</c:v>
                </c:pt>
              </c:numCache>
            </c:numRef>
          </c:val>
          <c:shape val="box"/>
        </c:ser>
        <c:shape val="box"/>
        <c:axId val="33505605"/>
        <c:axId val="33114990"/>
      </c:bar3DChart>
      <c:catAx>
        <c:axId val="3350560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3114990"/>
        <c:crosses val="autoZero"/>
        <c:auto val="1"/>
        <c:lblOffset val="100"/>
        <c:noMultiLvlLbl val="0"/>
      </c:catAx>
      <c:valAx>
        <c:axId val="3311499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350560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ESPAÑA: EVOLUCIONES DE LOS AFILIADOS (En miles)
</a:t>
            </a:r>
            <a:r>
              <a:rPr lang="en-US" cap="none" sz="900" b="1" i="1" u="none" baseline="0">
                <a:solidFill>
                  <a:srgbClr val="008080"/>
                </a:solidFill>
                <a:latin typeface="Arial"/>
                <a:ea typeface="Arial"/>
                <a:cs typeface="Arial"/>
              </a:rPr>
              <a:t>SPAIN: EVOLUTION OF AFFILIATES (In thousand)</a:t>
            </a:r>
          </a:p>
        </c:rich>
      </c:tx>
      <c:layout/>
      <c:spPr>
        <a:noFill/>
        <a:ln>
          <a:noFill/>
        </a:ln>
      </c:spPr>
    </c:title>
    <c:view3D>
      <c:rotX val="15"/>
      <c:rotY val="20"/>
      <c:depthPercent val="110"/>
      <c:rAngAx val="1"/>
    </c:view3D>
    <c:plotArea>
      <c:layout/>
      <c:bar3DChart>
        <c:barDir val="col"/>
        <c:grouping val="clustered"/>
        <c:varyColors val="0"/>
        <c:ser>
          <c:idx val="0"/>
          <c:order val="0"/>
          <c:tx>
            <c:strRef>
              <c:f>Hoja47!$B$41</c:f>
              <c:strCache>
                <c:ptCount val="1"/>
                <c:pt idx="0">
                  <c:v>Participes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Hoja47!$A$42:$A$55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Hoja47!$B$42:$B$55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hape val="box"/>
        </c:ser>
        <c:gapWidth val="70"/>
        <c:shape val="box"/>
        <c:axId val="29599455"/>
        <c:axId val="65068504"/>
      </c:bar3DChart>
      <c:catAx>
        <c:axId val="2959945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5068504"/>
        <c:crosses val="autoZero"/>
        <c:auto val="1"/>
        <c:lblOffset val="100"/>
        <c:noMultiLvlLbl val="0"/>
      </c:catAx>
      <c:valAx>
        <c:axId val="6506850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959945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ESPAÑA: EVOLUCION DEL PATRIMONIO (Millones de US$)
</a:t>
            </a:r>
            <a:r>
              <a:rPr lang="en-US" cap="none" sz="900" b="1" i="1" u="none" baseline="0">
                <a:solidFill>
                  <a:srgbClr val="008080"/>
                </a:solidFill>
                <a:latin typeface="Arial"/>
                <a:ea typeface="Arial"/>
                <a:cs typeface="Arial"/>
              </a:rPr>
              <a:t>SPAIN: EVOLUTION OF EQUITY (US$ Million)</a:t>
            </a:r>
          </a:p>
        </c:rich>
      </c:tx>
      <c:layout/>
      <c:spPr>
        <a:noFill/>
        <a:ln>
          <a:noFill/>
        </a:ln>
      </c:spPr>
    </c:title>
    <c:view3D>
      <c:rotX val="15"/>
      <c:rotY val="20"/>
      <c:depthPercent val="100"/>
      <c:rAngAx val="1"/>
    </c:view3D>
    <c:plotArea>
      <c:layout/>
      <c:bar3DChart>
        <c:barDir val="col"/>
        <c:grouping val="clustered"/>
        <c:varyColors val="0"/>
        <c:ser>
          <c:idx val="0"/>
          <c:order val="0"/>
          <c:tx>
            <c:strRef>
              <c:f>Hoja48!$B$42</c:f>
              <c:strCache>
                <c:ptCount val="1"/>
                <c:pt idx="0">
                  <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Arial"/>
                    <a:ea typeface="Arial"/>
                    <a:cs typeface="Arial"/>
                  </a:defRPr>
                </a:pPr>
              </a:p>
            </c:txPr>
            <c:showLegendKey val="0"/>
            <c:showVal val="1"/>
            <c:showBubbleSize val="0"/>
            <c:showCatName val="0"/>
            <c:showSerName val="0"/>
            <c:showPercent val="0"/>
          </c:dLbls>
          <c:cat>
            <c:numRef>
              <c:f>Hoja48!$A$43:$A$57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Hoja48!$B$43:$B$57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gapWidth val="60"/>
        <c:shape val="box"/>
        <c:axId val="48745625"/>
        <c:axId val="36057442"/>
      </c:bar3DChart>
      <c:catAx>
        <c:axId val="4874562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6057442"/>
        <c:crosses val="autoZero"/>
        <c:auto val="1"/>
        <c:lblOffset val="100"/>
        <c:noMultiLvlLbl val="0"/>
      </c:catAx>
      <c:valAx>
        <c:axId val="3605744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8745625"/>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HUNGRIA: EVOLUCION DE LOS AFILIADOS (En miles)
</a:t>
            </a:r>
            <a:r>
              <a:rPr lang="en-US" cap="none" sz="900" b="1" i="1" u="none" baseline="0">
                <a:solidFill>
                  <a:srgbClr val="008080"/>
                </a:solidFill>
                <a:latin typeface="Arial"/>
                <a:ea typeface="Arial"/>
                <a:cs typeface="Arial"/>
              </a:rPr>
              <a:t>HUNGARY:EVOLUTION OF AFFILIATES (In thousand)</a:t>
            </a:r>
          </a:p>
        </c:rich>
      </c:tx>
      <c:layout>
        <c:manualLayout>
          <c:xMode val="factor"/>
          <c:yMode val="factor"/>
          <c:x val="-0.01525"/>
          <c:y val="-0.01875"/>
        </c:manualLayout>
      </c:layout>
      <c:spPr>
        <a:noFill/>
        <a:ln>
          <a:noFill/>
        </a:ln>
      </c:spPr>
    </c:title>
    <c:view3D>
      <c:rotX val="15"/>
      <c:rotY val="20"/>
      <c:depthPercent val="100"/>
      <c:rAngAx val="1"/>
    </c:view3D>
    <c:plotArea>
      <c:layout>
        <c:manualLayout>
          <c:xMode val="edge"/>
          <c:yMode val="edge"/>
          <c:x val="0.01625"/>
          <c:y val="0.1915"/>
          <c:w val="0.8395"/>
          <c:h val="0.77475"/>
        </c:manualLayout>
      </c:layout>
      <c:bar3DChart>
        <c:barDir val="col"/>
        <c:grouping val="clustered"/>
        <c:varyColors val="0"/>
        <c:ser>
          <c:idx val="0"/>
          <c:order val="0"/>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993366"/>
                  </a:gs>
                  <a:gs pos="100000">
                    <a:srgbClr val="46172F"/>
                  </a:gs>
                </a:gsLst>
                <a:lin ang="5400000" scaled="1"/>
              </a:gra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Hoja50!$A$21:$A$25</c:f>
              <c:numCache>
                <c:ptCount val="5"/>
                <c:pt idx="0">
                  <c:v>0</c:v>
                </c:pt>
                <c:pt idx="1">
                  <c:v>0</c:v>
                </c:pt>
                <c:pt idx="2">
                  <c:v>0</c:v>
                </c:pt>
                <c:pt idx="3">
                  <c:v>0</c:v>
                </c:pt>
                <c:pt idx="4">
                  <c:v>0</c:v>
                </c:pt>
              </c:numCache>
            </c:numRef>
          </c:cat>
          <c:val>
            <c:numRef>
              <c:f>Hoja50!$B$21:$B$25</c:f>
              <c:numCache>
                <c:ptCount val="5"/>
                <c:pt idx="0">
                  <c:v>0</c:v>
                </c:pt>
                <c:pt idx="1">
                  <c:v>0</c:v>
                </c:pt>
                <c:pt idx="2">
                  <c:v>0</c:v>
                </c:pt>
                <c:pt idx="3">
                  <c:v>0</c:v>
                </c:pt>
                <c:pt idx="4">
                  <c:v>0</c:v>
                </c:pt>
              </c:numCache>
            </c:numRef>
          </c:val>
          <c:shape val="box"/>
        </c:ser>
        <c:shape val="box"/>
        <c:axId val="56081523"/>
        <c:axId val="34971660"/>
      </c:bar3DChart>
      <c:catAx>
        <c:axId val="5608152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4971660"/>
        <c:crosses val="autoZero"/>
        <c:auto val="1"/>
        <c:lblOffset val="100"/>
        <c:noMultiLvlLbl val="0"/>
      </c:catAx>
      <c:valAx>
        <c:axId val="3497166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6081523"/>
        <c:crossesAt val="1"/>
        <c:crossBetween val="between"/>
        <c:dispUnits/>
      </c:valAx>
      <c:spPr>
        <a:noFill/>
        <a:ln>
          <a:noFill/>
        </a:ln>
      </c:spPr>
    </c:plotArea>
    <c:floor>
      <c:thickness val="0"/>
    </c:floor>
    <c:sideWall>
      <c:spPr>
        <a:solidFill>
          <a:srgbClr val="C0C0C0"/>
        </a:solidFill>
        <a:ln w="3175">
          <a:noFill/>
        </a:ln>
      </c:spPr>
      <c:thickness val="0"/>
    </c:sideWall>
    <c:backWall>
      <c:spPr>
        <a:solidFill>
          <a:srgbClr val="C0C0C0"/>
        </a:solidFill>
        <a:ln w="3175">
          <a:no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BOLIVIA: EVOLUCION DE LOS AFILIADOS Y COTIZANTES (En miles)
</a:t>
            </a:r>
            <a:r>
              <a:rPr lang="en-US" cap="none" sz="900" b="1" i="1" u="none" baseline="0">
                <a:solidFill>
                  <a:srgbClr val="008080"/>
                </a:solidFill>
                <a:latin typeface="Arial"/>
                <a:ea typeface="Arial"/>
                <a:cs typeface="Arial"/>
              </a:rPr>
              <a:t>BOLIVIA: EVOLUTION OF AFFILIATES AND CONTRIBUTORS (In thousand)</a:t>
            </a:r>
          </a:p>
        </c:rich>
      </c:tx>
      <c:layout/>
      <c:spPr>
        <a:noFill/>
        <a:ln>
          <a:noFill/>
        </a:ln>
      </c:spPr>
    </c:title>
    <c:view3D>
      <c:rotX val="15"/>
      <c:rotY val="20"/>
      <c:depthPercent val="100"/>
      <c:rAngAx val="1"/>
    </c:view3D>
    <c:plotArea>
      <c:layout>
        <c:manualLayout>
          <c:xMode val="edge"/>
          <c:yMode val="edge"/>
          <c:x val="0.01375"/>
          <c:y val="0.173"/>
          <c:w val="0.894"/>
          <c:h val="0.765"/>
        </c:manualLayout>
      </c:layout>
      <c:bar3DChart>
        <c:barDir val="col"/>
        <c:grouping val="clustered"/>
        <c:varyColors val="0"/>
        <c:ser>
          <c:idx val="0"/>
          <c:order val="0"/>
          <c:tx>
            <c:strRef>
              <c:f>Hoja20!$B$26</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Hoja20!$A$27:$A$32</c:f>
              <c:numCache>
                <c:ptCount val="6"/>
                <c:pt idx="0">
                  <c:v>0</c:v>
                </c:pt>
                <c:pt idx="1">
                  <c:v>0</c:v>
                </c:pt>
                <c:pt idx="2">
                  <c:v>0</c:v>
                </c:pt>
                <c:pt idx="3">
                  <c:v>0</c:v>
                </c:pt>
                <c:pt idx="4">
                  <c:v>0</c:v>
                </c:pt>
                <c:pt idx="5">
                  <c:v>0</c:v>
                </c:pt>
              </c:numCache>
            </c:numRef>
          </c:cat>
          <c:val>
            <c:numRef>
              <c:f>Hoja20!$B$27:$B$32</c:f>
              <c:numCache>
                <c:ptCount val="6"/>
                <c:pt idx="0">
                  <c:v>0</c:v>
                </c:pt>
                <c:pt idx="1">
                  <c:v>0</c:v>
                </c:pt>
                <c:pt idx="2">
                  <c:v>0</c:v>
                </c:pt>
                <c:pt idx="3">
                  <c:v>0</c:v>
                </c:pt>
                <c:pt idx="4">
                  <c:v>0</c:v>
                </c:pt>
                <c:pt idx="5">
                  <c:v>0</c:v>
                </c:pt>
              </c:numCache>
            </c:numRef>
          </c:val>
          <c:shape val="box"/>
        </c:ser>
        <c:ser>
          <c:idx val="1"/>
          <c:order val="1"/>
          <c:tx>
            <c:strRef>
              <c:f>Hoja20!$C$26</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50" b="0" i="0" u="none" baseline="0">
                    <a:latin typeface="Arial"/>
                    <a:ea typeface="Arial"/>
                    <a:cs typeface="Arial"/>
                  </a:defRPr>
                </a:pPr>
              </a:p>
            </c:txPr>
            <c:showLegendKey val="0"/>
            <c:showVal val="1"/>
            <c:showBubbleSize val="0"/>
            <c:showCatName val="0"/>
            <c:showSerName val="0"/>
            <c:showPercent val="0"/>
          </c:dLbls>
          <c:cat>
            <c:numRef>
              <c:f>Hoja20!$A$27:$A$32</c:f>
              <c:numCache>
                <c:ptCount val="6"/>
                <c:pt idx="0">
                  <c:v>0</c:v>
                </c:pt>
                <c:pt idx="1">
                  <c:v>0</c:v>
                </c:pt>
                <c:pt idx="2">
                  <c:v>0</c:v>
                </c:pt>
                <c:pt idx="3">
                  <c:v>0</c:v>
                </c:pt>
                <c:pt idx="4">
                  <c:v>0</c:v>
                </c:pt>
                <c:pt idx="5">
                  <c:v>0</c:v>
                </c:pt>
              </c:numCache>
            </c:numRef>
          </c:cat>
          <c:val>
            <c:numRef>
              <c:f>Hoja20!$C$27:$C$32</c:f>
              <c:numCache>
                <c:ptCount val="6"/>
                <c:pt idx="0">
                  <c:v>0</c:v>
                </c:pt>
                <c:pt idx="1">
                  <c:v>0</c:v>
                </c:pt>
                <c:pt idx="2">
                  <c:v>0</c:v>
                </c:pt>
                <c:pt idx="3">
                  <c:v>0</c:v>
                </c:pt>
                <c:pt idx="4">
                  <c:v>0</c:v>
                </c:pt>
                <c:pt idx="5">
                  <c:v>0</c:v>
                </c:pt>
              </c:numCache>
            </c:numRef>
          </c:val>
          <c:shape val="box"/>
        </c:ser>
        <c:shape val="box"/>
        <c:axId val="25570031"/>
        <c:axId val="28803688"/>
      </c:bar3DChart>
      <c:catAx>
        <c:axId val="2557003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28803688"/>
        <c:crosses val="autoZero"/>
        <c:auto val="1"/>
        <c:lblOffset val="100"/>
        <c:noMultiLvlLbl val="0"/>
      </c:catAx>
      <c:valAx>
        <c:axId val="2880368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5570031"/>
        <c:crossesAt val="1"/>
        <c:crossBetween val="between"/>
        <c:dispUnits/>
      </c:valAx>
      <c:spPr>
        <a:noFill/>
        <a:ln>
          <a:noFill/>
        </a:ln>
      </c:spPr>
    </c:plotArea>
    <c:legend>
      <c:legendPos val="r"/>
      <c:layout>
        <c:manualLayout>
          <c:xMode val="edge"/>
          <c:yMode val="edge"/>
          <c:x val="0.892"/>
          <c:y val="0.83875"/>
        </c:manualLayout>
      </c:layout>
      <c:overlay val="0"/>
      <c:txPr>
        <a:bodyPr vert="horz" rot="0"/>
        <a:lstStyle/>
        <a:p>
          <a:pPr>
            <a:defRPr lang="en-US" cap="none" sz="925"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HUNGRIA: EVOLUCION DE LOS FONDOS DE PENSIONES (Millones de US$)
</a:t>
            </a:r>
            <a:r>
              <a:rPr lang="en-US" cap="none" sz="900" b="1" i="1" u="none" baseline="0">
                <a:solidFill>
                  <a:srgbClr val="008080"/>
                </a:solidFill>
                <a:latin typeface="Arial"/>
                <a:ea typeface="Arial"/>
                <a:cs typeface="Arial"/>
              </a:rPr>
              <a:t>HUNGARY:EVOLUTION OF PENSION FUNDS (US$ Million)</a:t>
            </a:r>
          </a:p>
        </c:rich>
      </c:tx>
      <c:layout>
        <c:manualLayout>
          <c:xMode val="factor"/>
          <c:yMode val="factor"/>
          <c:x val="-0.01525"/>
          <c:y val="-0.01875"/>
        </c:manualLayout>
      </c:layout>
      <c:spPr>
        <a:noFill/>
        <a:ln>
          <a:noFill/>
        </a:ln>
      </c:spPr>
    </c:title>
    <c:view3D>
      <c:rotX val="15"/>
      <c:rotY val="20"/>
      <c:depthPercent val="100"/>
      <c:rAngAx val="1"/>
    </c:view3D>
    <c:plotArea>
      <c:layout>
        <c:manualLayout>
          <c:xMode val="edge"/>
          <c:yMode val="edge"/>
          <c:x val="0.0145"/>
          <c:y val="0.18"/>
          <c:w val="0.84225"/>
          <c:h val="0.788"/>
        </c:manualLayout>
      </c:layout>
      <c:bar3DChart>
        <c:barDir val="col"/>
        <c:grouping val="clustered"/>
        <c:varyColors val="0"/>
        <c:ser>
          <c:idx val="0"/>
          <c:order val="0"/>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Hoja51!$A$26:$A$29</c:f>
              <c:numCache>
                <c:ptCount val="4"/>
                <c:pt idx="0">
                  <c:v>0</c:v>
                </c:pt>
                <c:pt idx="1">
                  <c:v>0</c:v>
                </c:pt>
                <c:pt idx="2">
                  <c:v>0</c:v>
                </c:pt>
                <c:pt idx="3">
                  <c:v>0</c:v>
                </c:pt>
              </c:numCache>
            </c:numRef>
          </c:cat>
          <c:val>
            <c:numRef>
              <c:f>Hoja51!$B$26:$B$29</c:f>
              <c:numCache>
                <c:ptCount val="4"/>
                <c:pt idx="0">
                  <c:v>0</c:v>
                </c:pt>
                <c:pt idx="1">
                  <c:v>0</c:v>
                </c:pt>
                <c:pt idx="2">
                  <c:v>0</c:v>
                </c:pt>
                <c:pt idx="3">
                  <c:v>0</c:v>
                </c:pt>
              </c:numCache>
            </c:numRef>
          </c:val>
          <c:shape val="box"/>
        </c:ser>
        <c:shape val="box"/>
        <c:axId val="46309485"/>
        <c:axId val="14132182"/>
      </c:bar3DChart>
      <c:catAx>
        <c:axId val="4630948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14132182"/>
        <c:crosses val="autoZero"/>
        <c:auto val="1"/>
        <c:lblOffset val="100"/>
        <c:noMultiLvlLbl val="0"/>
      </c:catAx>
      <c:valAx>
        <c:axId val="1413218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630948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KAZAJSTAN: EVOLUCION DE LOS AFILIADOS (En miles)
</a:t>
            </a:r>
            <a:r>
              <a:rPr lang="en-US" cap="none" sz="900" b="1" i="1" u="none" baseline="0">
                <a:solidFill>
                  <a:srgbClr val="008080"/>
                </a:solidFill>
                <a:latin typeface="Arial"/>
                <a:ea typeface="Arial"/>
                <a:cs typeface="Arial"/>
              </a:rPr>
              <a:t>KAZAKHSTAN: EVOLUTION OF AFFILIATES (In thousand)</a:t>
            </a:r>
          </a:p>
        </c:rich>
      </c:tx>
      <c:layout/>
      <c:spPr>
        <a:noFill/>
        <a:ln>
          <a:noFill/>
        </a:ln>
      </c:spPr>
    </c:title>
    <c:view3D>
      <c:rotX val="15"/>
      <c:rotY val="20"/>
      <c:depthPercent val="100"/>
      <c:rAngAx val="1"/>
    </c:view3D>
    <c:plotArea>
      <c:layout>
        <c:manualLayout>
          <c:xMode val="edge"/>
          <c:yMode val="edge"/>
          <c:x val="0.0135"/>
          <c:y val="0.15275"/>
          <c:w val="0.96975"/>
          <c:h val="0.834"/>
        </c:manualLayout>
      </c:layout>
      <c:bar3DChart>
        <c:barDir val="col"/>
        <c:grouping val="clustered"/>
        <c:varyColors val="0"/>
        <c:ser>
          <c:idx val="0"/>
          <c:order val="0"/>
          <c:tx>
            <c:strRef>
              <c:f>Hoja52!$B$34</c:f>
              <c:strCache>
                <c:ptCount val="1"/>
                <c:pt idx="0">
                  <c:v>Afiliados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Hoja52!$A$35:$A$39</c:f>
              <c:strCache/>
            </c:strRef>
          </c:cat>
          <c:val>
            <c:numRef>
              <c:f>Hoja52!$B$35:$B$39</c:f>
              <c:numCache>
                <c:ptCount val="5"/>
                <c:pt idx="0">
                  <c:v>0</c:v>
                </c:pt>
                <c:pt idx="1">
                  <c:v>0</c:v>
                </c:pt>
                <c:pt idx="2">
                  <c:v>0</c:v>
                </c:pt>
                <c:pt idx="3">
                  <c:v>0</c:v>
                </c:pt>
                <c:pt idx="4">
                  <c:v>0</c:v>
                </c:pt>
              </c:numCache>
            </c:numRef>
          </c:val>
          <c:shape val="box"/>
        </c:ser>
        <c:gapWidth val="100"/>
        <c:shape val="box"/>
        <c:axId val="60080775"/>
        <c:axId val="3856064"/>
      </c:bar3DChart>
      <c:catAx>
        <c:axId val="6008077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856064"/>
        <c:crosses val="autoZero"/>
        <c:auto val="1"/>
        <c:lblOffset val="100"/>
        <c:noMultiLvlLbl val="0"/>
      </c:catAx>
      <c:valAx>
        <c:axId val="385606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08077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KAZAJSTAN: EVOLUCION DE LOS FONDOS DE PENSIONES (Millones de US$)
</a:t>
            </a:r>
            <a:r>
              <a:rPr lang="en-US" cap="none" sz="900" b="1" i="1" u="none" baseline="0">
                <a:solidFill>
                  <a:srgbClr val="008080"/>
                </a:solidFill>
                <a:latin typeface="Arial"/>
                <a:ea typeface="Arial"/>
                <a:cs typeface="Arial"/>
              </a:rPr>
              <a:t>KAZAKHSTAN: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0"/>
          <c:order val="0"/>
          <c:tx>
            <c:strRef>
              <c:f>Hoja53!$B$40</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Hoja53!$A$41:$A$45</c:f>
              <c:strCache/>
            </c:strRef>
          </c:cat>
          <c:val>
            <c:numRef>
              <c:f>Hoja53!$B$41:$B$45</c:f>
              <c:numCache>
                <c:ptCount val="5"/>
                <c:pt idx="0">
                  <c:v>0</c:v>
                </c:pt>
                <c:pt idx="1">
                  <c:v>0</c:v>
                </c:pt>
                <c:pt idx="2">
                  <c:v>0</c:v>
                </c:pt>
                <c:pt idx="3">
                  <c:v>0</c:v>
                </c:pt>
                <c:pt idx="4">
                  <c:v>0</c:v>
                </c:pt>
              </c:numCache>
            </c:numRef>
          </c:val>
          <c:shape val="box"/>
        </c:ser>
        <c:shape val="box"/>
        <c:axId val="34704577"/>
        <c:axId val="43905738"/>
      </c:bar3DChart>
      <c:catAx>
        <c:axId val="34704577"/>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43905738"/>
        <c:crosses val="autoZero"/>
        <c:auto val="1"/>
        <c:lblOffset val="100"/>
        <c:noMultiLvlLbl val="0"/>
      </c:catAx>
      <c:valAx>
        <c:axId val="43905738"/>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470457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POLONIA: EVOLUCION DE LOS AFILIADOS (En miles)
</a:t>
            </a:r>
            <a:r>
              <a:rPr lang="en-US" cap="none" sz="900" b="1" i="1" u="none" baseline="0">
                <a:solidFill>
                  <a:srgbClr val="008080"/>
                </a:solidFill>
                <a:latin typeface="Arial"/>
                <a:ea typeface="Arial"/>
                <a:cs typeface="Arial"/>
              </a:rPr>
              <a:t>POLAND: EVOLUTION OF AFFILIATES (In thousand)</a:t>
            </a:r>
          </a:p>
        </c:rich>
      </c:tx>
      <c:layout/>
      <c:spPr>
        <a:noFill/>
        <a:ln>
          <a:noFill/>
        </a:ln>
      </c:spPr>
    </c:title>
    <c:view3D>
      <c:rotX val="15"/>
      <c:rotY val="20"/>
      <c:depthPercent val="100"/>
      <c:rAngAx val="1"/>
    </c:view3D>
    <c:plotArea>
      <c:layout/>
      <c:bar3DChart>
        <c:barDir val="col"/>
        <c:grouping val="clustered"/>
        <c:varyColors val="0"/>
        <c:ser>
          <c:idx val="1"/>
          <c:order val="0"/>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Hoja54!$A$37:$A$40</c:f>
              <c:numCache>
                <c:ptCount val="4"/>
                <c:pt idx="0">
                  <c:v>0</c:v>
                </c:pt>
                <c:pt idx="1">
                  <c:v>0</c:v>
                </c:pt>
                <c:pt idx="2">
                  <c:v>0</c:v>
                </c:pt>
                <c:pt idx="3">
                  <c:v>0</c:v>
                </c:pt>
              </c:numCache>
            </c:numRef>
          </c:cat>
          <c:val>
            <c:numRef>
              <c:f>Hoja54!$B$37:$B$40</c:f>
              <c:numCache>
                <c:ptCount val="4"/>
                <c:pt idx="0">
                  <c:v>0</c:v>
                </c:pt>
                <c:pt idx="1">
                  <c:v>0</c:v>
                </c:pt>
                <c:pt idx="2">
                  <c:v>0</c:v>
                </c:pt>
                <c:pt idx="3">
                  <c:v>0</c:v>
                </c:pt>
              </c:numCache>
            </c:numRef>
          </c:val>
          <c:shape val="box"/>
        </c:ser>
        <c:shape val="box"/>
        <c:axId val="59607323"/>
        <c:axId val="66703860"/>
      </c:bar3DChart>
      <c:catAx>
        <c:axId val="5960732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6703860"/>
        <c:crosses val="autoZero"/>
        <c:auto val="1"/>
        <c:lblOffset val="100"/>
        <c:noMultiLvlLbl val="0"/>
      </c:catAx>
      <c:valAx>
        <c:axId val="6670386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60732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POLONIA: EVOLUCION DE LOS FONDOS DE PENDIONES (Millones de US$)
</a:t>
            </a:r>
            <a:r>
              <a:rPr lang="en-US" cap="none" sz="875" b="1" i="1" u="none" baseline="0">
                <a:solidFill>
                  <a:srgbClr val="008080"/>
                </a:solidFill>
                <a:latin typeface="Arial"/>
                <a:ea typeface="Arial"/>
                <a:cs typeface="Arial"/>
              </a:rPr>
              <a:t>POLAND: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1"/>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numRef>
              <c:f>Hoja55!$A$41:$A$44</c:f>
              <c:numCache>
                <c:ptCount val="4"/>
                <c:pt idx="0">
                  <c:v>0</c:v>
                </c:pt>
                <c:pt idx="1">
                  <c:v>0</c:v>
                </c:pt>
                <c:pt idx="2">
                  <c:v>0</c:v>
                </c:pt>
                <c:pt idx="3">
                  <c:v>0</c:v>
                </c:pt>
              </c:numCache>
            </c:numRef>
          </c:cat>
          <c:val>
            <c:numRef>
              <c:f>Hoja55!$B$41:$B$44</c:f>
              <c:numCache>
                <c:ptCount val="4"/>
                <c:pt idx="0">
                  <c:v>0</c:v>
                </c:pt>
                <c:pt idx="1">
                  <c:v>0</c:v>
                </c:pt>
                <c:pt idx="2">
                  <c:v>0</c:v>
                </c:pt>
                <c:pt idx="3">
                  <c:v>0</c:v>
                </c:pt>
              </c:numCache>
            </c:numRef>
          </c:val>
          <c:shape val="box"/>
        </c:ser>
        <c:shape val="box"/>
        <c:axId val="63463829"/>
        <c:axId val="34303550"/>
      </c:bar3DChart>
      <c:catAx>
        <c:axId val="6346382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34303550"/>
        <c:crosses val="autoZero"/>
        <c:auto val="1"/>
        <c:lblOffset val="100"/>
        <c:noMultiLvlLbl val="0"/>
      </c:catAx>
      <c:valAx>
        <c:axId val="34303550"/>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346382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19375"/>
          <c:y val="0.3175"/>
          <c:w val="0.59775"/>
          <c:h val="0.567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666699"/>
              </a:solidFill>
            </c:spPr>
          </c:dPt>
          <c:dPt>
            <c:idx val="2"/>
            <c:spPr>
              <a:solidFill>
                <a:srgbClr val="99CC00"/>
              </a:solidFill>
            </c:spPr>
          </c:dPt>
          <c:dPt>
            <c:idx val="3"/>
            <c:spPr>
              <a:solidFill>
                <a:srgbClr val="800080"/>
              </a:solidFill>
            </c:spPr>
          </c:dPt>
          <c:dPt>
            <c:idx val="4"/>
            <c:spPr>
              <a:solidFill>
                <a:srgbClr val="FFFF99"/>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77,66%</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Hoja60!$A$39:$A$43</c:f>
              <c:strCache/>
            </c:strRef>
          </c:cat>
          <c:val>
            <c:numRef>
              <c:f>Hoja60!$B$39:$B$43</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a:t>
            </a:r>
            <a:r>
              <a:rPr lang="en-US" cap="none" sz="1000" b="1" i="1" u="none" baseline="0">
                <a:solidFill>
                  <a:srgbClr val="008080"/>
                </a:solidFill>
                <a:latin typeface="Arial"/>
                <a:ea typeface="Arial"/>
                <a:cs typeface="Arial"/>
              </a:rPr>
              <a:t> PORTFOLIO COMPOSITION</a:t>
            </a:r>
          </a:p>
        </c:rich>
      </c:tx>
      <c:layout/>
      <c:spPr>
        <a:noFill/>
        <a:ln>
          <a:noFill/>
        </a:ln>
      </c:spPr>
    </c:title>
    <c:view3D>
      <c:rotX val="15"/>
      <c:hPercent val="100"/>
      <c:rotY val="40"/>
      <c:depthPercent val="100"/>
      <c:rAngAx val="1"/>
    </c:view3D>
    <c:plotArea>
      <c:layout>
        <c:manualLayout>
          <c:xMode val="edge"/>
          <c:yMode val="edge"/>
          <c:x val="0.1605"/>
          <c:y val="0.2725"/>
          <c:w val="0.625"/>
          <c:h val="0.570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00CCFF"/>
              </a:solidFill>
            </c:spPr>
          </c:dPt>
          <c:dPt>
            <c:idx val="2"/>
            <c:spPr>
              <a:solidFill>
                <a:srgbClr val="CC99FF"/>
              </a:solidFill>
            </c:spPr>
          </c:dPt>
          <c:dPt>
            <c:idx val="3"/>
            <c:spPr>
              <a:solidFill>
                <a:srgbClr val="FFFFFF"/>
              </a:solidFill>
            </c:spPr>
          </c:dPt>
          <c:dPt>
            <c:idx val="4"/>
            <c:spPr>
              <a:solidFill>
                <a:srgbClr val="666699"/>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69,07%</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Hoja61!$A$34:$A$38</c:f>
              <c:strCache/>
            </c:strRef>
          </c:cat>
          <c:val>
            <c:numRef>
              <c:f>Hoja61!$B$34:$B$38</c:f>
              <c:numCache>
                <c:ptCount val="5"/>
                <c:pt idx="0">
                  <c:v>0</c:v>
                </c:pt>
                <c:pt idx="1">
                  <c:v>0</c:v>
                </c:pt>
                <c:pt idx="2">
                  <c:v>0</c:v>
                </c:pt>
                <c:pt idx="3">
                  <c:v>0</c:v>
                </c:pt>
                <c:pt idx="4">
                  <c:v>0</c:v>
                </c:pt>
              </c:numCache>
            </c:numRef>
          </c:val>
        </c:ser>
        <c:firstSliceAng val="40"/>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manualLayout>
          <c:xMode val="factor"/>
          <c:yMode val="factor"/>
          <c:x val="-0.0275"/>
          <c:y val="0.01125"/>
        </c:manualLayout>
      </c:layout>
      <c:spPr>
        <a:noFill/>
        <a:ln>
          <a:noFill/>
        </a:ln>
      </c:spPr>
    </c:title>
    <c:view3D>
      <c:rotX val="20"/>
      <c:hPercent val="100"/>
      <c:rotY val="5"/>
      <c:depthPercent val="100"/>
      <c:rAngAx val="1"/>
    </c:view3D>
    <c:plotArea>
      <c:layout>
        <c:manualLayout>
          <c:xMode val="edge"/>
          <c:yMode val="edge"/>
          <c:x val="0.2295"/>
          <c:y val="0.3225"/>
          <c:w val="0.56475"/>
          <c:h val="0.5505"/>
        </c:manualLayout>
      </c:layout>
      <c:pie3DChart>
        <c:varyColors val="1"/>
        <c:ser>
          <c:idx val="0"/>
          <c:order val="0"/>
          <c:explosion val="35"/>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FF8080"/>
              </a:solidFill>
            </c:spPr>
          </c:dPt>
          <c:dPt>
            <c:idx val="2"/>
            <c:spPr>
              <a:solidFill>
                <a:srgbClr val="3366FF"/>
              </a:solidFill>
            </c:spPr>
          </c:dPt>
          <c:dPt>
            <c:idx val="3"/>
            <c:spPr>
              <a:solidFill>
                <a:srgbClr val="33CCCC"/>
              </a:solidFill>
            </c:spPr>
          </c:dPt>
          <c:dPt>
            <c:idx val="4"/>
            <c:spPr>
              <a:solidFill>
                <a:srgbClr val="666699"/>
              </a:solidFill>
            </c:spPr>
          </c:dPt>
          <c:dPt>
            <c:idx val="5"/>
            <c:spPr>
              <a:solidFill>
                <a:srgbClr val="FFFF99"/>
              </a:solidFill>
            </c:spPr>
          </c:dPt>
          <c:dPt>
            <c:idx val="6"/>
            <c:spPr>
              <a:solidFill>
                <a:srgbClr val="FF0000"/>
              </a:solidFill>
            </c:spPr>
          </c:dPt>
          <c:dPt>
            <c:idx val="7"/>
            <c:spPr>
              <a:solidFill>
                <a:srgbClr val="FFFFFF"/>
              </a:solidFill>
            </c:spPr>
          </c:dPt>
          <c:dPt>
            <c:idx val="8"/>
            <c:spPr>
              <a:solidFill>
                <a:srgbClr val="993366"/>
              </a:solidFill>
            </c:spPr>
          </c:dPt>
          <c:dPt>
            <c:idx val="9"/>
            <c:spPr>
              <a:solidFill>
                <a:srgbClr val="CCFFFF"/>
              </a:solidFill>
            </c:spPr>
          </c:dPt>
          <c:dPt>
            <c:idx val="10"/>
            <c:spPr>
              <a:solidFill>
                <a:srgbClr val="C0C0C0"/>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1" i="0" u="none" baseline="0">
                        <a:latin typeface="Arial"/>
                        <a:ea typeface="Arial"/>
                        <a:cs typeface="Arial"/>
                      </a:rPr>
                      <a:t>Financiamiento Inmobiliario
2,04%</a:t>
                    </a:r>
                  </a:p>
                </c:rich>
              </c:tx>
              <c:numFmt formatCode="General" sourceLinked="1"/>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Hoja62!$A$30:$A$40</c:f>
              <c:strCache/>
            </c:strRef>
          </c:cat>
          <c:val>
            <c:numRef>
              <c:f>Hoja62!$B$30:$B$40</c:f>
              <c:numCache>
                <c:ptCount val="11"/>
                <c:pt idx="0">
                  <c:v>0</c:v>
                </c:pt>
                <c:pt idx="1">
                  <c:v>0</c:v>
                </c:pt>
                <c:pt idx="2">
                  <c:v>0</c:v>
                </c:pt>
                <c:pt idx="3">
                  <c:v>0</c:v>
                </c:pt>
                <c:pt idx="4">
                  <c:v>0</c:v>
                </c:pt>
                <c:pt idx="5">
                  <c:v>0</c:v>
                </c:pt>
                <c:pt idx="6">
                  <c:v>0</c:v>
                </c:pt>
                <c:pt idx="7">
                  <c:v>0</c:v>
                </c:pt>
                <c:pt idx="8">
                  <c:v>0</c:v>
                </c:pt>
                <c:pt idx="9">
                  <c:v>0</c:v>
                </c:pt>
                <c:pt idx="10">
                  <c:v>0</c:v>
                </c:pt>
              </c:numCache>
            </c:numRef>
          </c:val>
        </c:ser>
        <c:firstSliceAng val="5"/>
      </c:pie3DChart>
      <c:spPr>
        <a:noFill/>
        <a:ln>
          <a:noFill/>
        </a:ln>
      </c:spPr>
    </c:plotArea>
    <c:sideWall>
      <c:thickness val="0"/>
    </c:sideWall>
    <c:backWall>
      <c:thickness val="0"/>
    </c:backWall>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15"/>
          <c:y val="0.3275"/>
          <c:w val="0.577"/>
          <c:h val="0.516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33CCCC"/>
              </a:solidFill>
            </c:spPr>
          </c:dPt>
          <c:dPt>
            <c:idx val="2"/>
            <c:spPr>
              <a:solidFill>
                <a:srgbClr val="CC99FF"/>
              </a:solidFill>
            </c:spPr>
          </c:dPt>
          <c:dPt>
            <c:idx val="3"/>
            <c:spPr>
              <a:solidFill>
                <a:srgbClr val="99CC00"/>
              </a:solidFill>
            </c:spPr>
          </c:dPt>
          <c:dPt>
            <c:idx val="4"/>
            <c:spPr>
              <a:solidFill>
                <a:srgbClr val="FFFFFF"/>
              </a:solidFill>
            </c:spPr>
          </c:dPt>
          <c:dPt>
            <c:idx val="5"/>
            <c:spPr>
              <a:solidFill>
                <a:srgbClr val="FFFF99"/>
              </a:solidFill>
            </c:spPr>
          </c:dPt>
          <c:dPt>
            <c:idx val="6"/>
            <c:spPr>
              <a:solidFill>
                <a:srgbClr val="FFCC00"/>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Hoja63!$A$25:$A$31</c:f>
              <c:strCache/>
            </c:strRef>
          </c:cat>
          <c:val>
            <c:numRef>
              <c:f>Hoja63!$B$25:$B$31</c:f>
              <c:numCache>
                <c:ptCount val="7"/>
                <c:pt idx="0">
                  <c:v>0</c:v>
                </c:pt>
                <c:pt idx="1">
                  <c:v>0</c:v>
                </c:pt>
                <c:pt idx="2">
                  <c:v>0</c:v>
                </c:pt>
                <c:pt idx="3">
                  <c:v>0</c:v>
                </c:pt>
                <c:pt idx="4">
                  <c:v>0</c:v>
                </c:pt>
                <c:pt idx="5">
                  <c:v>0</c:v>
                </c:pt>
                <c:pt idx="6">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0"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1815"/>
          <c:y val="0.2965"/>
          <c:w val="0.62075"/>
          <c:h val="0.56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FF99"/>
              </a:solidFill>
            </c:spPr>
          </c:dPt>
          <c:dPt>
            <c:idx val="2"/>
            <c:spPr>
              <a:solidFill>
                <a:srgbClr val="FFCC00"/>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Hoja64!$A$29:$A$31</c:f>
              <c:strCache/>
            </c:strRef>
          </c:cat>
          <c:val>
            <c:numRef>
              <c:f>Hoja64!$B$29:$B$31</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BOLIVIA: EVOLUCION DE LOS FONDOS DE PENSIONES (Millones de US$)
</a:t>
            </a:r>
            <a:r>
              <a:rPr lang="en-US" cap="none" sz="900" b="1" i="1" u="none" baseline="0">
                <a:solidFill>
                  <a:srgbClr val="008080"/>
                </a:solidFill>
                <a:latin typeface="Arial"/>
                <a:ea typeface="Arial"/>
                <a:cs typeface="Arial"/>
              </a:rPr>
              <a:t>BOLIVIA: EVOLUTION OF PENSION FUNDS (US$ Million)</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Hoja21!$A$33:$A$38</c:f>
              <c:numCache>
                <c:ptCount val="6"/>
                <c:pt idx="0">
                  <c:v>0</c:v>
                </c:pt>
                <c:pt idx="1">
                  <c:v>0</c:v>
                </c:pt>
                <c:pt idx="2">
                  <c:v>0</c:v>
                </c:pt>
                <c:pt idx="3">
                  <c:v>0</c:v>
                </c:pt>
                <c:pt idx="4">
                  <c:v>0</c:v>
                </c:pt>
                <c:pt idx="5">
                  <c:v>0</c:v>
                </c:pt>
              </c:numCache>
            </c:numRef>
          </c:cat>
          <c:val>
            <c:numRef>
              <c:f>Hoja21!$B$33:$B$38</c:f>
              <c:numCache>
                <c:ptCount val="6"/>
                <c:pt idx="0">
                  <c:v>0</c:v>
                </c:pt>
                <c:pt idx="1">
                  <c:v>0</c:v>
                </c:pt>
                <c:pt idx="2">
                  <c:v>0</c:v>
                </c:pt>
                <c:pt idx="3">
                  <c:v>0</c:v>
                </c:pt>
                <c:pt idx="4">
                  <c:v>0</c:v>
                </c:pt>
                <c:pt idx="5">
                  <c:v>0</c:v>
                </c:pt>
              </c:numCache>
            </c:numRef>
          </c:val>
          <c:shape val="box"/>
        </c:ser>
        <c:gapWidth val="130"/>
        <c:shape val="box"/>
        <c:axId val="57906601"/>
        <c:axId val="51397362"/>
      </c:bar3DChart>
      <c:catAx>
        <c:axId val="5790660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51397362"/>
        <c:crosses val="autoZero"/>
        <c:auto val="1"/>
        <c:lblOffset val="100"/>
        <c:noMultiLvlLbl val="0"/>
      </c:catAx>
      <c:valAx>
        <c:axId val="51397362"/>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790660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COMPOSICION DE LA CARTERA / </a:t>
            </a:r>
            <a:r>
              <a:rPr lang="en-US" cap="none" sz="1125" b="1" i="1" u="none" baseline="0">
                <a:solidFill>
                  <a:srgbClr val="008080"/>
                </a:solidFill>
                <a:latin typeface="Arial"/>
                <a:ea typeface="Arial"/>
                <a:cs typeface="Arial"/>
              </a:rPr>
              <a:t>PORTFOLIO COMPOSITION</a:t>
            </a:r>
          </a:p>
        </c:rich>
      </c:tx>
      <c:layout>
        <c:manualLayout>
          <c:xMode val="factor"/>
          <c:yMode val="factor"/>
          <c:x val="-0.00425"/>
          <c:y val="0.005"/>
        </c:manualLayout>
      </c:layout>
      <c:spPr>
        <a:noFill/>
        <a:ln>
          <a:noFill/>
        </a:ln>
      </c:spPr>
    </c:title>
    <c:view3D>
      <c:rotX val="15"/>
      <c:hPercent val="100"/>
      <c:rotY val="0"/>
      <c:depthPercent val="100"/>
      <c:rAngAx val="1"/>
    </c:view3D>
    <c:plotArea>
      <c:layout>
        <c:manualLayout>
          <c:xMode val="edge"/>
          <c:yMode val="edge"/>
          <c:x val="0.23875"/>
          <c:y val="0.319"/>
          <c:w val="0.55575"/>
          <c:h val="0.505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33CCCC"/>
              </a:solidFill>
            </c:spPr>
          </c:dPt>
          <c:dPt>
            <c:idx val="2"/>
            <c:spPr>
              <a:solidFill>
                <a:srgbClr val="993366"/>
              </a:solidFill>
            </c:spPr>
          </c:dPt>
          <c:dLbls>
            <c:dLbl>
              <c:idx val="0"/>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25" b="1" i="0" u="none" baseline="0">
                        <a:latin typeface="Arial"/>
                        <a:ea typeface="Arial"/>
                        <a:cs typeface="Arial"/>
                      </a:rPr>
                      <a:t>Títulos FOGAFIN
5,43%</a:t>
                    </a:r>
                  </a:p>
                </c:rich>
              </c:tx>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25"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25" b="1" i="0" u="none" baseline="0">
                    <a:latin typeface="Arial"/>
                    <a:ea typeface="Arial"/>
                    <a:cs typeface="Arial"/>
                  </a:defRPr>
                </a:pPr>
              </a:p>
            </c:txPr>
            <c:showLegendKey val="0"/>
            <c:showVal val="0"/>
            <c:showBubbleSize val="0"/>
            <c:showCatName val="1"/>
            <c:showSerName val="0"/>
            <c:showLeaderLines val="1"/>
            <c:showPercent val="1"/>
          </c:dLbls>
          <c:cat>
            <c:strRef>
              <c:f>'[2]Hoja66'!$A$34:$A$36</c:f>
              <c:strCache>
                <c:ptCount val="3"/>
                <c:pt idx="0">
                  <c:v>Renta Fija</c:v>
                </c:pt>
                <c:pt idx="1">
                  <c:v>Renta Variable</c:v>
                </c:pt>
                <c:pt idx="2">
                  <c:v>Depósitos a la Vista</c:v>
                </c:pt>
              </c:strCache>
            </c:strRef>
          </c:cat>
          <c:val>
            <c:numRef>
              <c:f>'[2]Hoja66'!$B$34:$B$36</c:f>
              <c:numCache>
                <c:ptCount val="3"/>
                <c:pt idx="0">
                  <c:v>0.9272146260081641</c:v>
                </c:pt>
                <c:pt idx="1">
                  <c:v>0.06430430389453415</c:v>
                </c:pt>
                <c:pt idx="2">
                  <c:v>0.012009244965826631</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4425"/>
          <c:y val="0.35775"/>
          <c:w val="0.5645"/>
          <c:h val="0.514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99CCFF"/>
              </a:solidFill>
            </c:spPr>
          </c:dPt>
          <c:dPt>
            <c:idx val="2"/>
            <c:spPr>
              <a:solidFill>
                <a:srgbClr val="CC99FF"/>
              </a:solidFill>
            </c:spPr>
          </c:dPt>
          <c:dPt>
            <c:idx val="3"/>
            <c:spPr>
              <a:solidFill>
                <a:srgbClr val="33CCCC"/>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Hoja66!$A$39:$A$43</c:f>
              <c:strCache/>
            </c:strRef>
          </c:cat>
          <c:val>
            <c:numRef>
              <c:f>Hoja66!$B$39:$B$43</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COMPOSICION DE LA CARTERA / </a:t>
            </a:r>
            <a:r>
              <a:rPr lang="en-US" cap="none" sz="975"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2425"/>
          <c:y val="0.34075"/>
          <c:w val="0.583"/>
          <c:h val="0.52525"/>
        </c:manualLayout>
      </c:layout>
      <c:pie3DChart>
        <c:varyColors val="1"/>
        <c:ser>
          <c:idx val="0"/>
          <c:order val="0"/>
          <c:explosion val="42"/>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FF99"/>
              </a:solidFill>
            </c:spPr>
          </c:dPt>
          <c:dPt>
            <c:idx val="2"/>
            <c:spPr>
              <a:solidFill>
                <a:srgbClr val="CC99FF"/>
              </a:solidFill>
            </c:spPr>
          </c:dPt>
          <c:dPt>
            <c:idx val="3"/>
            <c:spPr>
              <a:solidFill>
                <a:srgbClr val="FFFFCC"/>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Hoja67!$A$24:$A$27</c:f>
              <c:strCache/>
            </c:strRef>
          </c:cat>
          <c:val>
            <c:numRef>
              <c:f>Hoja67!$B$24:$B$27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455"/>
          <c:y val="0.37525"/>
          <c:w val="0.54075"/>
          <c:h val="0.492"/>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c:spPr>
          </c:dPt>
          <c:dPt>
            <c:idx val="1"/>
            <c:spPr>
              <a:solidFill>
                <a:srgbClr val="33CCCC"/>
              </a:solidFill>
            </c:spPr>
          </c:dPt>
          <c:dPt>
            <c:idx val="2"/>
            <c:spPr>
              <a:solidFill>
                <a:srgbClr val="99CC00"/>
              </a:solidFill>
            </c:spPr>
          </c:dPt>
          <c:dPt>
            <c:idx val="3"/>
            <c:spPr>
              <a:solidFill>
                <a:srgbClr val="666699"/>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Hoja68!$A$25:$A$28</c:f>
              <c:strCache/>
            </c:strRef>
          </c:cat>
          <c:val>
            <c:numRef>
              <c:f>Hoja68!$B$25:$B$28</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0075"/>
          <c:y val="0.316"/>
          <c:w val="0.615"/>
          <c:h val="0.556"/>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666699"/>
              </a:solidFill>
            </c:spPr>
          </c:dPt>
          <c:dPt>
            <c:idx val="2"/>
            <c:spPr>
              <a:solidFill>
                <a:srgbClr val="33CCCC"/>
              </a:solidFill>
            </c:spPr>
          </c:dPt>
          <c:dPt>
            <c:idx val="3"/>
            <c:spPr>
              <a:solidFill>
                <a:srgbClr val="FFFF99"/>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Hoja69!$A$29:$A$32</c:f>
              <c:strCache/>
            </c:strRef>
          </c:cat>
          <c:val>
            <c:numRef>
              <c:f>Hoja69!$B$29:$B$32</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manualLayout>
          <c:xMode val="factor"/>
          <c:yMode val="factor"/>
          <c:x val="-0.07025"/>
          <c:y val="0"/>
        </c:manualLayout>
      </c:layout>
      <c:spPr>
        <a:noFill/>
        <a:ln>
          <a:noFill/>
        </a:ln>
      </c:spPr>
    </c:title>
    <c:view3D>
      <c:rotX val="15"/>
      <c:hPercent val="100"/>
      <c:rotY val="40"/>
      <c:depthPercent val="100"/>
      <c:rAngAx val="1"/>
    </c:view3D>
    <c:plotArea>
      <c:layout>
        <c:manualLayout>
          <c:xMode val="edge"/>
          <c:yMode val="edge"/>
          <c:x val="0.2175"/>
          <c:y val="0.32975"/>
          <c:w val="0.59425"/>
          <c:h val="0.539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800080"/>
              </a:solidFill>
            </c:spPr>
          </c:dPt>
          <c:dPt>
            <c:idx val="2"/>
            <c:spPr>
              <a:solidFill>
                <a:srgbClr val="CC99FF"/>
              </a:solidFill>
            </c:spPr>
          </c:dPt>
          <c:dPt>
            <c:idx val="3"/>
            <c:spPr>
              <a:solidFill>
                <a:srgbClr val="FFFF99"/>
              </a:solidFill>
            </c:spPr>
          </c:dPt>
          <c:dPt>
            <c:idx val="4"/>
            <c:spPr>
              <a:solidFill>
                <a:srgbClr val="99CC00"/>
              </a:solidFill>
            </c:spPr>
          </c:dPt>
          <c:dPt>
            <c:idx val="5"/>
            <c:spPr>
              <a:solidFill>
                <a:srgbClr val="3366FF"/>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1" i="0" u="none" baseline="0">
                        <a:latin typeface="Arial"/>
                        <a:ea typeface="Arial"/>
                        <a:cs typeface="Arial"/>
                      </a:rPr>
                      <a:t>Otros Activos
2.8%</a:t>
                    </a:r>
                  </a:p>
                </c:rich>
              </c:tx>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leaderLines>
              <c:spPr>
                <a:ln w="12700">
                  <a:solidFill/>
                </a:ln>
              </c:spPr>
            </c:leaderLines>
          </c:dLbls>
          <c:cat>
            <c:strRef>
              <c:f>Hoja70!$A$24:$A$29</c:f>
              <c:strCache/>
            </c:strRef>
          </c:cat>
          <c:val>
            <c:numRef>
              <c:f>Hoja70!$B$24:$B$29</c:f>
              <c:numCache>
                <c:ptCount val="6"/>
                <c:pt idx="0">
                  <c:v>0</c:v>
                </c:pt>
                <c:pt idx="1">
                  <c:v>0</c:v>
                </c:pt>
                <c:pt idx="2">
                  <c:v>0</c:v>
                </c:pt>
                <c:pt idx="3">
                  <c:v>0</c:v>
                </c:pt>
                <c:pt idx="4">
                  <c:v>0</c:v>
                </c:pt>
                <c:pt idx="5">
                  <c:v>0</c:v>
                </c:pt>
              </c:numCache>
            </c:numRef>
          </c:val>
        </c:ser>
        <c:firstSliceAng val="40"/>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manualLayout>
          <c:xMode val="factor"/>
          <c:yMode val="factor"/>
          <c:x val="-0.0165"/>
          <c:y val="-0.0165"/>
        </c:manualLayout>
      </c:layout>
      <c:spPr>
        <a:noFill/>
        <a:ln>
          <a:noFill/>
        </a:ln>
      </c:spPr>
    </c:title>
    <c:view3D>
      <c:rotX val="15"/>
      <c:hPercent val="100"/>
      <c:rotY val="0"/>
      <c:depthPercent val="100"/>
      <c:rAngAx val="1"/>
    </c:view3D>
    <c:plotArea>
      <c:layout>
        <c:manualLayout>
          <c:xMode val="edge"/>
          <c:yMode val="edge"/>
          <c:x val="0.198"/>
          <c:y val="0.33075"/>
          <c:w val="0.57875"/>
          <c:h val="0.52275"/>
        </c:manualLayout>
      </c:layout>
      <c:pie3DChart>
        <c:varyColors val="1"/>
        <c:ser>
          <c:idx val="0"/>
          <c:order val="0"/>
          <c:explosion val="33"/>
          <c:extLst>
            <c:ext xmlns:c14="http://schemas.microsoft.com/office/drawing/2007/8/2/chart" uri="{6F2FDCE9-48DA-4B69-8628-5D25D57E5C99}">
              <c14:invertSolidFillFmt>
                <c14:spPr>
                  <a:solidFill>
                    <a:srgbClr val="000000"/>
                  </a:solidFill>
                </c14:spPr>
              </c14:invertSolidFillFmt>
            </c:ext>
          </c:extLst>
          <c:dPt>
            <c:idx val="1"/>
            <c:explosion val="38"/>
          </c:dPt>
          <c:dPt>
            <c:idx val="2"/>
            <c:explosion val="42"/>
          </c:dPt>
          <c:dPt>
            <c:idx val="3"/>
            <c:explosion val="60"/>
            <c:spPr>
              <a:solidFill>
                <a:srgbClr val="00FFFF"/>
              </a:solidFill>
            </c:spPr>
          </c:dPt>
          <c:dPt>
            <c:idx val="4"/>
            <c:explosion val="66"/>
            <c:spPr>
              <a:solidFill>
                <a:srgbClr val="FFCC00"/>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55,60%</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Hoja71!$A$31:$A$35</c:f>
              <c:strCache/>
            </c:strRef>
          </c:cat>
          <c:val>
            <c:numRef>
              <c:f>Hoja71!$B$31:$B$35</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manualLayout>
          <c:xMode val="factor"/>
          <c:yMode val="factor"/>
          <c:x val="-0.0165"/>
          <c:y val="-0.0165"/>
        </c:manualLayout>
      </c:layout>
      <c:spPr>
        <a:noFill/>
        <a:ln>
          <a:noFill/>
        </a:ln>
      </c:spPr>
    </c:title>
    <c:view3D>
      <c:rotX val="15"/>
      <c:hPercent val="100"/>
      <c:rotY val="0"/>
      <c:depthPercent val="100"/>
      <c:rAngAx val="1"/>
    </c:view3D>
    <c:plotArea>
      <c:layout>
        <c:manualLayout>
          <c:xMode val="edge"/>
          <c:yMode val="edge"/>
          <c:x val="0.198"/>
          <c:y val="0.33075"/>
          <c:w val="0.57875"/>
          <c:h val="0.52275"/>
        </c:manualLayout>
      </c:layout>
      <c:pie3DChart>
        <c:varyColors val="1"/>
        <c:ser>
          <c:idx val="0"/>
          <c:order val="0"/>
          <c:explosion val="33"/>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explosion val="38"/>
            <c:spPr>
              <a:solidFill>
                <a:srgbClr val="99CC00"/>
              </a:solidFill>
            </c:spPr>
          </c:dPt>
          <c:dPt>
            <c:idx val="2"/>
            <c:explosion val="42"/>
            <c:spPr>
              <a:solidFill>
                <a:srgbClr val="800080"/>
              </a:solidFill>
            </c:spPr>
          </c:dPt>
          <c:dPt>
            <c:idx val="3"/>
            <c:explosion val="60"/>
            <c:spPr>
              <a:solidFill>
                <a:srgbClr val="33CCCC"/>
              </a:solidFill>
            </c:spPr>
          </c:dPt>
          <c:dPt>
            <c:idx val="4"/>
            <c:explosion val="66"/>
            <c:spPr>
              <a:solidFill>
                <a:srgbClr val="FFFF99"/>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55,60%</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'[1]Hoja72'!$A$31:$A$35</c:f>
              <c:strCache>
                <c:ptCount val="5"/>
                <c:pt idx="0">
                  <c:v>Sector Estatal</c:v>
                </c:pt>
                <c:pt idx="1">
                  <c:v>Sector Empresas</c:v>
                </c:pt>
                <c:pt idx="2">
                  <c:v>Sector Financiero</c:v>
                </c:pt>
                <c:pt idx="3">
                  <c:v>Sector Extranjero</c:v>
                </c:pt>
                <c:pt idx="4">
                  <c:v>Activos Disponibles</c:v>
                </c:pt>
              </c:strCache>
            </c:strRef>
          </c:cat>
          <c:val>
            <c:numRef>
              <c:f>'[1]Hoja72'!$B$31:$B$35</c:f>
              <c:numCache>
                <c:ptCount val="5"/>
                <c:pt idx="0">
                  <c:v>0.5559645716041967</c:v>
                </c:pt>
                <c:pt idx="1">
                  <c:v>0.22630306925022003</c:v>
                </c:pt>
                <c:pt idx="2">
                  <c:v>0.111021081013118</c:v>
                </c:pt>
                <c:pt idx="3">
                  <c:v>0.055817884634190636</c:v>
                </c:pt>
                <c:pt idx="4">
                  <c:v>0.05089339349827468</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a:t>
            </a:r>
            <a:r>
              <a:rPr lang="en-US" cap="none" sz="1000" b="1" i="1" u="none" baseline="0">
                <a:solidFill>
                  <a:srgbClr val="008080"/>
                </a:solidFill>
                <a:latin typeface="Arial"/>
                <a:ea typeface="Arial"/>
                <a:cs typeface="Arial"/>
              </a:rPr>
              <a:t> PORTFOLIO COMPOSITION</a:t>
            </a:r>
          </a:p>
        </c:rich>
      </c:tx>
      <c:layout/>
      <c:spPr>
        <a:noFill/>
        <a:ln>
          <a:noFill/>
        </a:ln>
      </c:spPr>
    </c:title>
    <c:view3D>
      <c:rotX val="15"/>
      <c:hPercent val="100"/>
      <c:rotY val="200"/>
      <c:depthPercent val="100"/>
      <c:rAngAx val="1"/>
    </c:view3D>
    <c:plotArea>
      <c:layout>
        <c:manualLayout>
          <c:xMode val="edge"/>
          <c:yMode val="edge"/>
          <c:x val="0.204"/>
          <c:y val="0.19175"/>
          <c:w val="0.60025"/>
          <c:h val="0.59225"/>
        </c:manualLayout>
      </c:layout>
      <c:pie3DChart>
        <c:varyColors val="1"/>
        <c:ser>
          <c:idx val="0"/>
          <c:order val="0"/>
          <c:explosion val="42"/>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99"/>
              </a:solidFill>
            </c:spPr>
          </c:dPt>
          <c:dPt>
            <c:idx val="2"/>
            <c:spPr>
              <a:solidFill>
                <a:srgbClr val="993366"/>
              </a:solidFill>
            </c:spPr>
          </c:dPt>
          <c:dPt>
            <c:idx val="3"/>
            <c:spPr>
              <a:solidFill>
                <a:srgbClr val="99CC00"/>
              </a:solidFill>
            </c:spPr>
          </c:dPt>
          <c:dPt>
            <c:idx val="4"/>
            <c:spPr>
              <a:solidFill>
                <a:srgbClr val="FFFFFF"/>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81,41%</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Hoja72!$A$38:$A$42</c:f>
              <c:strCache/>
            </c:strRef>
          </c:cat>
          <c:val>
            <c:numRef>
              <c:f>Hoja72!$B$38:$B$42</c:f>
              <c:numCache>
                <c:ptCount val="5"/>
                <c:pt idx="0">
                  <c:v>0</c:v>
                </c:pt>
                <c:pt idx="1">
                  <c:v>0</c:v>
                </c:pt>
                <c:pt idx="2">
                  <c:v>0</c:v>
                </c:pt>
                <c:pt idx="3">
                  <c:v>0</c:v>
                </c:pt>
                <c:pt idx="4">
                  <c:v>0</c:v>
                </c:pt>
              </c:numCache>
            </c:numRef>
          </c:val>
        </c:ser>
        <c:firstSliceAng val="200"/>
      </c:pie3DChart>
      <c:spPr>
        <a:noFill/>
        <a:ln>
          <a:noFill/>
        </a:ln>
      </c:spPr>
    </c:plotArea>
    <c:sideWall>
      <c:thickness val="0"/>
    </c:sideWall>
    <c:backWall>
      <c:thickness val="0"/>
    </c:backWall>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15"/>
          <c:y val="0.35525"/>
          <c:w val="0.55875"/>
          <c:h val="0.503"/>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Hoja73!$A$21:$A$23</c:f>
              <c:strCache/>
            </c:strRef>
          </c:cat>
          <c:val>
            <c:numRef>
              <c:f>Hoja73!$B$21:$B$23</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ABRAPP: EVOLUCION DE LOS AFILIADOS (En miles)
</a:t>
            </a:r>
            <a:r>
              <a:rPr lang="en-US" cap="none" sz="875" b="1" i="1" u="none" baseline="0">
                <a:solidFill>
                  <a:srgbClr val="008080"/>
                </a:solidFill>
                <a:latin typeface="Arial"/>
                <a:ea typeface="Arial"/>
                <a:cs typeface="Arial"/>
              </a:rPr>
              <a:t>ABRAPP: EVOLUTION OF AFFILIATES (In thousand)</a:t>
            </a:r>
          </a:p>
        </c:rich>
      </c:tx>
      <c:layout/>
      <c:spPr>
        <a:noFill/>
        <a:ln>
          <a:noFill/>
        </a:ln>
      </c:spPr>
    </c:title>
    <c:view3D>
      <c:rotX val="16"/>
      <c:rotY val="40"/>
      <c:depthPercent val="100"/>
      <c:rAngAx val="1"/>
    </c:view3D>
    <c:plotArea>
      <c:layout>
        <c:manualLayout>
          <c:xMode val="edge"/>
          <c:yMode val="edge"/>
          <c:x val="0"/>
          <c:y val="0.1915"/>
          <c:w val="1"/>
          <c:h val="0.75175"/>
        </c:manualLayout>
      </c:layout>
      <c:bar3DChart>
        <c:barDir val="col"/>
        <c:grouping val="clustered"/>
        <c:varyColors val="0"/>
        <c:ser>
          <c:idx val="0"/>
          <c:order val="0"/>
          <c:tx>
            <c:strRef>
              <c:f>Hoja22!$B$42</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Hoja22!$A$43:$A$51</c:f>
              <c:numCache/>
            </c:numRef>
          </c:cat>
          <c:val>
            <c:numRef>
              <c:f>Hoja22!$B$43:$B$51</c:f>
              <c:numCache/>
            </c:numRef>
          </c:val>
          <c:shape val="box"/>
        </c:ser>
        <c:gapWidth val="60"/>
        <c:shape val="box"/>
        <c:axId val="59923075"/>
        <c:axId val="2436764"/>
      </c:bar3DChart>
      <c:catAx>
        <c:axId val="59923075"/>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2436764"/>
        <c:crosses val="autoZero"/>
        <c:auto val="1"/>
        <c:lblOffset val="100"/>
        <c:noMultiLvlLbl val="0"/>
      </c:catAx>
      <c:valAx>
        <c:axId val="2436764"/>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923075"/>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15"/>
          <c:y val="0.35525"/>
          <c:w val="0.55875"/>
          <c:h val="0.503"/>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FFFF99"/>
              </a:solidFill>
            </c:spPr>
          </c:dPt>
          <c:dPt>
            <c:idx val="2"/>
            <c:spPr>
              <a:solidFill>
                <a:srgbClr val="99CC00"/>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'[1]Hoja74'!$A$21:$A$23</c:f>
              <c:strCache>
                <c:ptCount val="3"/>
                <c:pt idx="0">
                  <c:v>Sector Estatal</c:v>
                </c:pt>
                <c:pt idx="1">
                  <c:v>Sector Empresas</c:v>
                </c:pt>
                <c:pt idx="2">
                  <c:v>Sector Financiero</c:v>
                </c:pt>
              </c:strCache>
            </c:strRef>
          </c:cat>
          <c:val>
            <c:numRef>
              <c:f>'[1]Hoja74'!$B$21:$B$23</c:f>
              <c:numCache>
                <c:ptCount val="3"/>
                <c:pt idx="0">
                  <c:v>0.630999439117545</c:v>
                </c:pt>
                <c:pt idx="1">
                  <c:v>0.010000734488929248</c:v>
                </c:pt>
                <c:pt idx="2">
                  <c:v>0.3589998263935258</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COMPOSICION DE LA CARTERA / </a:t>
            </a:r>
            <a:r>
              <a:rPr lang="en-US" cap="none" sz="875" b="1" i="1" u="none" baseline="0">
                <a:solidFill>
                  <a:srgbClr val="008080"/>
                </a:solidFill>
                <a:latin typeface="Arial"/>
                <a:ea typeface="Arial"/>
                <a:cs typeface="Arial"/>
              </a:rPr>
              <a:t>PORTFOLIO COMPOSITION</a:t>
            </a:r>
          </a:p>
        </c:rich>
      </c:tx>
      <c:layout/>
      <c:spPr>
        <a:noFill/>
        <a:ln>
          <a:noFill/>
        </a:ln>
      </c:spPr>
    </c:title>
    <c:view3D>
      <c:rotX val="15"/>
      <c:hPercent val="100"/>
      <c:rotY val="20"/>
      <c:depthPercent val="100"/>
      <c:rAngAx val="1"/>
    </c:view3D>
    <c:plotArea>
      <c:layout>
        <c:manualLayout>
          <c:xMode val="edge"/>
          <c:yMode val="edge"/>
          <c:x val="0.21075"/>
          <c:y val="0.29625"/>
          <c:w val="0.59225"/>
          <c:h val="0.564"/>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CC99FF"/>
              </a:solidFill>
            </c:spPr>
          </c:dPt>
          <c:dPt>
            <c:idx val="1"/>
            <c:spPr>
              <a:solidFill>
                <a:srgbClr val="33CCCC"/>
              </a:solidFill>
            </c:spPr>
          </c:dPt>
          <c:dPt>
            <c:idx val="2"/>
            <c:spPr>
              <a:solidFill>
                <a:srgbClr val="FF9900"/>
              </a:solidFill>
            </c:spPr>
          </c:dPt>
          <c:dPt>
            <c:idx val="3"/>
            <c:spPr>
              <a:solidFill>
                <a:srgbClr val="99CC00"/>
              </a:solidFill>
            </c:spPr>
          </c:dPt>
          <c:dPt>
            <c:idx val="4"/>
            <c:spPr>
              <a:solidFill>
                <a:srgbClr val="FFFF99"/>
              </a:solidFill>
            </c:spPr>
          </c:dPt>
          <c:dLbls>
            <c:dLbl>
              <c:idx val="0"/>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latin typeface="Arial"/>
                    <a:ea typeface="Arial"/>
                    <a:cs typeface="Arial"/>
                  </a:defRPr>
                </a:pPr>
              </a:p>
            </c:txPr>
            <c:showLegendKey val="0"/>
            <c:showVal val="0"/>
            <c:showBubbleSize val="0"/>
            <c:showCatName val="1"/>
            <c:showSerName val="0"/>
            <c:showLeaderLines val="1"/>
            <c:showPercent val="1"/>
          </c:dLbls>
          <c:cat>
            <c:strRef>
              <c:f>Hoja74!$A$45:$A$49</c:f>
              <c:strCache/>
            </c:strRef>
          </c:cat>
          <c:val>
            <c:numRef>
              <c:f>Hoja74!$B$45:$B$49</c:f>
              <c:numCache>
                <c:ptCount val="5"/>
                <c:pt idx="0">
                  <c:v>0</c:v>
                </c:pt>
                <c:pt idx="1">
                  <c:v>0</c:v>
                </c:pt>
                <c:pt idx="2">
                  <c:v>0</c:v>
                </c:pt>
                <c:pt idx="3">
                  <c:v>0</c:v>
                </c:pt>
                <c:pt idx="4">
                  <c:v>0</c:v>
                </c:pt>
              </c:numCache>
            </c:numRef>
          </c:val>
        </c:ser>
        <c:firstSliceAng val="20"/>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0"/>
      <c:depthPercent val="100"/>
      <c:rAngAx val="1"/>
    </c:view3D>
    <c:plotArea>
      <c:layout>
        <c:manualLayout>
          <c:xMode val="edge"/>
          <c:yMode val="edge"/>
          <c:x val="0.2185"/>
          <c:y val="0.3485"/>
          <c:w val="0.57725"/>
          <c:h val="0.523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99"/>
              </a:solidFill>
            </c:spPr>
          </c:dPt>
          <c:dPt>
            <c:idx val="2"/>
            <c:spPr>
              <a:solidFill>
                <a:srgbClr val="33CCCC"/>
              </a:solidFill>
            </c:spPr>
          </c:dPt>
          <c:dLbls>
            <c:dLbl>
              <c:idx val="0"/>
              <c:layout>
                <c:manualLayout>
                  <c:x val="0"/>
                  <c:y val="0"/>
                </c:manualLayout>
              </c:layout>
              <c:tx>
                <c:rich>
                  <a:bodyPr vert="horz" rot="0" anchor="ctr"/>
                  <a:lstStyle/>
                  <a:p>
                    <a:pPr algn="ctr">
                      <a:defRPr/>
                    </a:pPr>
                    <a:r>
                      <a:rPr lang="en-US" cap="none" sz="900" b="1" i="0" u="none" baseline="0">
                        <a:latin typeface="Arial"/>
                        <a:ea typeface="Arial"/>
                        <a:cs typeface="Arial"/>
                      </a:rPr>
                      <a:t>Sector Estatal
68,45%</a:t>
                    </a:r>
                  </a:p>
                </c:rich>
              </c:tx>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25"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Hoja75!$A$26:$A$28</c:f>
              <c:strCache/>
            </c:strRef>
          </c:cat>
          <c:val>
            <c:numRef>
              <c:f>Hoja75!$B$26:$B$28</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COMPOSICION DE LA CARTERA / </a:t>
            </a:r>
            <a:r>
              <a:rPr lang="en-US" cap="none" sz="1000" b="1" i="1" u="none" baseline="0">
                <a:solidFill>
                  <a:srgbClr val="008080"/>
                </a:solidFill>
                <a:latin typeface="Arial"/>
                <a:ea typeface="Arial"/>
                <a:cs typeface="Arial"/>
              </a:rPr>
              <a:t>PORTFOLIO COMPOSITION</a:t>
            </a:r>
          </a:p>
        </c:rich>
      </c:tx>
      <c:layout/>
      <c:spPr>
        <a:noFill/>
        <a:ln>
          <a:noFill/>
        </a:ln>
      </c:spPr>
    </c:title>
    <c:view3D>
      <c:rotX val="15"/>
      <c:hPercent val="100"/>
      <c:rotY val="75"/>
      <c:depthPercent val="100"/>
      <c:rAngAx val="1"/>
    </c:view3D>
    <c:plotArea>
      <c:layout>
        <c:manualLayout>
          <c:xMode val="edge"/>
          <c:yMode val="edge"/>
          <c:x val="0.223"/>
          <c:y val="0.35375"/>
          <c:w val="0.5895"/>
          <c:h val="0.528"/>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1"/>
            <c:spPr>
              <a:solidFill>
                <a:srgbClr val="FFFF99"/>
              </a:solidFill>
            </c:spPr>
          </c:dPt>
          <c:dPt>
            <c:idx val="2"/>
            <c:spPr>
              <a:solidFill>
                <a:srgbClr val="FF9900"/>
              </a:solidFill>
            </c:spPr>
          </c:dPt>
          <c:dPt>
            <c:idx val="3"/>
            <c:spPr>
              <a:solidFill>
                <a:srgbClr val="33CCCC"/>
              </a:solidFill>
            </c:spPr>
          </c:dPt>
          <c:dLbls>
            <c:dLbl>
              <c:idx val="0"/>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latin typeface="Arial"/>
                    <a:ea typeface="Arial"/>
                    <a:cs typeface="Arial"/>
                  </a:defRPr>
                </a:pPr>
              </a:p>
            </c:txPr>
            <c:showLegendKey val="0"/>
            <c:showVal val="0"/>
            <c:showBubbleSize val="0"/>
            <c:showCatName val="1"/>
            <c:showSerName val="0"/>
            <c:showLeaderLines val="1"/>
            <c:showPercent val="1"/>
          </c:dLbls>
          <c:cat>
            <c:strRef>
              <c:f>Hoja76!$A$40:$A$43</c:f>
              <c:strCache/>
            </c:strRef>
          </c:cat>
          <c:val>
            <c:numRef>
              <c:f>Hoja76!$B$40:$B$43</c:f>
              <c:numCache>
                <c:ptCount val="4"/>
                <c:pt idx="0">
                  <c:v>0</c:v>
                </c:pt>
                <c:pt idx="1">
                  <c:v>0</c:v>
                </c:pt>
                <c:pt idx="2">
                  <c:v>0</c:v>
                </c:pt>
                <c:pt idx="3">
                  <c:v>0</c:v>
                </c:pt>
              </c:numCache>
            </c:numRef>
          </c:val>
        </c:ser>
        <c:firstSliceAng val="75"/>
      </c:pie3DChart>
      <c:spPr>
        <a:noFill/>
        <a:ln>
          <a:noFill/>
        </a:ln>
      </c:spPr>
    </c:plotArea>
    <c:sideWall>
      <c:thickness val="0"/>
    </c:sideWall>
    <c:backWall>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ABRAPP: EVOLUCION DE LOS FONDOS DE PENSIONES (Millones de US$)
</a:t>
            </a:r>
            <a:r>
              <a:rPr lang="en-US" cap="none" sz="900" b="1" i="1" u="none" baseline="0">
                <a:solidFill>
                  <a:srgbClr val="008080"/>
                </a:solidFill>
                <a:latin typeface="Arial"/>
                <a:ea typeface="Arial"/>
                <a:cs typeface="Arial"/>
              </a:rPr>
              <a:t>ABRAPP: EVOLUTION OF PENSION FUNDS (US$ Million)</a:t>
            </a:r>
          </a:p>
        </c:rich>
      </c:tx>
      <c:layout>
        <c:manualLayout>
          <c:xMode val="factor"/>
          <c:yMode val="factor"/>
          <c:x val="0.00975"/>
          <c:y val="-0.0085"/>
        </c:manualLayout>
      </c:layout>
      <c:spPr>
        <a:noFill/>
        <a:ln>
          <a:noFill/>
        </a:ln>
      </c:spPr>
    </c:title>
    <c:view3D>
      <c:rotX val="15"/>
      <c:rotY val="20"/>
      <c:depthPercent val="100"/>
      <c:rAngAx val="1"/>
    </c:view3D>
    <c:plotArea>
      <c:layout>
        <c:manualLayout>
          <c:xMode val="edge"/>
          <c:yMode val="edge"/>
          <c:x val="0.013"/>
          <c:y val="0.1635"/>
          <c:w val="0.97775"/>
          <c:h val="0.832"/>
        </c:manualLayout>
      </c:layout>
      <c:bar3DChart>
        <c:barDir val="col"/>
        <c:grouping val="clustered"/>
        <c:varyColors val="0"/>
        <c:ser>
          <c:idx val="0"/>
          <c:order val="0"/>
          <c:tx>
            <c:strRef>
              <c:f>Hoja23!$B$44</c:f>
              <c:strCache>
                <c:ptCount val="1"/>
                <c:pt idx="0">
                  <c:v>Fondos</c:v>
                </c:pt>
              </c:strCache>
            </c:strRef>
          </c:tx>
          <c:spPr>
            <a:gradFill rotWithShape="1">
              <a:gsLst>
                <a:gs pos="0">
                  <a:srgbClr val="FFCC99"/>
                </a:gs>
                <a:gs pos="100000">
                  <a:srgbClr val="755E4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Hoja23!$A$45:$A$53</c:f>
              <c:strCache/>
            </c:strRef>
          </c:cat>
          <c:val>
            <c:numRef>
              <c:f>Hoja23!$B$45:$B$53</c:f>
              <c:numCache>
                <c:ptCount val="9"/>
                <c:pt idx="0">
                  <c:v>0</c:v>
                </c:pt>
                <c:pt idx="1">
                  <c:v>0</c:v>
                </c:pt>
                <c:pt idx="2">
                  <c:v>0</c:v>
                </c:pt>
                <c:pt idx="3">
                  <c:v>0</c:v>
                </c:pt>
                <c:pt idx="4">
                  <c:v>0</c:v>
                </c:pt>
                <c:pt idx="5">
                  <c:v>0</c:v>
                </c:pt>
                <c:pt idx="6">
                  <c:v>0</c:v>
                </c:pt>
                <c:pt idx="7">
                  <c:v>0</c:v>
                </c:pt>
                <c:pt idx="8">
                  <c:v>0</c:v>
                </c:pt>
              </c:numCache>
            </c:numRef>
          </c:val>
          <c:shape val="box"/>
        </c:ser>
        <c:gapWidth val="80"/>
        <c:shape val="box"/>
        <c:axId val="21930877"/>
        <c:axId val="63160166"/>
      </c:bar3DChart>
      <c:catAx>
        <c:axId val="21930877"/>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3160166"/>
        <c:crosses val="autoZero"/>
        <c:auto val="1"/>
        <c:lblOffset val="100"/>
        <c:noMultiLvlLbl val="0"/>
      </c:catAx>
      <c:valAx>
        <c:axId val="63160166"/>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1930877"/>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ANAPP: EVOLUCION DE LOS AFILIADOS (En miles)
</a:t>
            </a:r>
            <a:r>
              <a:rPr lang="en-US" cap="none" sz="900" b="1" i="1" u="none" baseline="0">
                <a:solidFill>
                  <a:srgbClr val="008080"/>
                </a:solidFill>
                <a:latin typeface="Arial"/>
                <a:ea typeface="Arial"/>
                <a:cs typeface="Arial"/>
              </a:rPr>
              <a:t>ANAPP: EVOLUTION OF AFFILIATES (In thousand)</a:t>
            </a:r>
          </a:p>
        </c:rich>
      </c:tx>
      <c:layout/>
      <c:spPr>
        <a:noFill/>
        <a:ln>
          <a:noFill/>
        </a:ln>
      </c:spPr>
    </c:title>
    <c:view3D>
      <c:rotX val="15"/>
      <c:rotY val="20"/>
      <c:depthPercent val="100"/>
      <c:rAngAx val="1"/>
    </c:view3D>
    <c:plotArea>
      <c:layout/>
      <c:bar3DChart>
        <c:barDir val="col"/>
        <c:grouping val="clustered"/>
        <c:varyColors val="0"/>
        <c:ser>
          <c:idx val="0"/>
          <c:order val="0"/>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Hoja24!$A$24:$A$31</c:f>
              <c:numCache>
                <c:ptCount val="8"/>
                <c:pt idx="0">
                  <c:v>0</c:v>
                </c:pt>
                <c:pt idx="1">
                  <c:v>0</c:v>
                </c:pt>
                <c:pt idx="2">
                  <c:v>0</c:v>
                </c:pt>
                <c:pt idx="3">
                  <c:v>0</c:v>
                </c:pt>
                <c:pt idx="4">
                  <c:v>0</c:v>
                </c:pt>
                <c:pt idx="5">
                  <c:v>0</c:v>
                </c:pt>
                <c:pt idx="6">
                  <c:v>0</c:v>
                </c:pt>
                <c:pt idx="7">
                  <c:v>0</c:v>
                </c:pt>
              </c:numCache>
            </c:numRef>
          </c:cat>
          <c:val>
            <c:numRef>
              <c:f>Hoja24!$B$24:$B$31</c:f>
              <c:numCache>
                <c:ptCount val="8"/>
                <c:pt idx="0">
                  <c:v>0</c:v>
                </c:pt>
                <c:pt idx="1">
                  <c:v>0</c:v>
                </c:pt>
                <c:pt idx="2">
                  <c:v>0</c:v>
                </c:pt>
                <c:pt idx="3">
                  <c:v>0</c:v>
                </c:pt>
                <c:pt idx="4">
                  <c:v>0</c:v>
                </c:pt>
                <c:pt idx="5">
                  <c:v>0</c:v>
                </c:pt>
                <c:pt idx="6">
                  <c:v>0</c:v>
                </c:pt>
                <c:pt idx="7">
                  <c:v>0</c:v>
                </c:pt>
              </c:numCache>
            </c:numRef>
          </c:val>
          <c:shape val="box"/>
        </c:ser>
        <c:gapWidth val="100"/>
        <c:shape val="box"/>
        <c:axId val="31570583"/>
        <c:axId val="15699792"/>
      </c:bar3DChart>
      <c:catAx>
        <c:axId val="31570583"/>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15699792"/>
        <c:crosses val="autoZero"/>
        <c:auto val="1"/>
        <c:lblOffset val="100"/>
        <c:noMultiLvlLbl val="0"/>
      </c:catAx>
      <c:valAx>
        <c:axId val="15699792"/>
        <c:scaling>
          <c:orientation val="minMax"/>
          <c:max val="500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57058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ANAPP: EVOLUCION DE LOS FONDOS DE PENSIONES (Millones de US$)
</a:t>
            </a:r>
            <a:r>
              <a:rPr lang="en-US" cap="none" sz="900" b="1" i="1" u="none" baseline="0">
                <a:solidFill>
                  <a:srgbClr val="008080"/>
                </a:solidFill>
                <a:latin typeface="Arial"/>
                <a:ea typeface="Arial"/>
                <a:cs typeface="Arial"/>
              </a:rPr>
              <a:t>ANAPP: EVOLUTION OF PENSION FUNDS (US$ Million)</a:t>
            </a:r>
          </a:p>
        </c:rich>
      </c:tx>
      <c:layout>
        <c:manualLayout>
          <c:xMode val="factor"/>
          <c:yMode val="factor"/>
          <c:x val="0.013"/>
          <c:y val="-0.021"/>
        </c:manualLayout>
      </c:layout>
      <c:spPr>
        <a:noFill/>
        <a:ln>
          <a:noFill/>
        </a:ln>
      </c:spPr>
    </c:title>
    <c:view3D>
      <c:rotX val="15"/>
      <c:rotY val="20"/>
      <c:depthPercent val="100"/>
      <c:rAngAx val="1"/>
    </c:view3D>
    <c:plotArea>
      <c:layout>
        <c:manualLayout>
          <c:xMode val="edge"/>
          <c:yMode val="edge"/>
          <c:x val="0.015"/>
          <c:y val="0.19875"/>
          <c:w val="0.96775"/>
          <c:h val="0.77"/>
        </c:manualLayout>
      </c:layout>
      <c:bar3DChart>
        <c:barDir val="col"/>
        <c:grouping val="clustered"/>
        <c:varyColors val="0"/>
        <c:ser>
          <c:idx val="0"/>
          <c:order val="0"/>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Hoja24!$A$47:$A$54</c:f>
              <c:numCache>
                <c:ptCount val="8"/>
                <c:pt idx="0">
                  <c:v>0</c:v>
                </c:pt>
                <c:pt idx="1">
                  <c:v>0</c:v>
                </c:pt>
                <c:pt idx="2">
                  <c:v>0</c:v>
                </c:pt>
                <c:pt idx="3">
                  <c:v>0</c:v>
                </c:pt>
                <c:pt idx="4">
                  <c:v>0</c:v>
                </c:pt>
                <c:pt idx="5">
                  <c:v>0</c:v>
                </c:pt>
                <c:pt idx="6">
                  <c:v>0</c:v>
                </c:pt>
                <c:pt idx="7">
                  <c:v>0</c:v>
                </c:pt>
              </c:numCache>
            </c:numRef>
          </c:cat>
          <c:val>
            <c:numRef>
              <c:f>Hoja24!$B$47:$B$54</c:f>
              <c:numCache>
                <c:ptCount val="8"/>
                <c:pt idx="0">
                  <c:v>0</c:v>
                </c:pt>
                <c:pt idx="1">
                  <c:v>0</c:v>
                </c:pt>
                <c:pt idx="2">
                  <c:v>0</c:v>
                </c:pt>
                <c:pt idx="3">
                  <c:v>0</c:v>
                </c:pt>
                <c:pt idx="4">
                  <c:v>0</c:v>
                </c:pt>
                <c:pt idx="5">
                  <c:v>0</c:v>
                </c:pt>
                <c:pt idx="6">
                  <c:v>0</c:v>
                </c:pt>
                <c:pt idx="7">
                  <c:v>0</c:v>
                </c:pt>
              </c:numCache>
            </c:numRef>
          </c:val>
          <c:shape val="box"/>
        </c:ser>
        <c:shape val="box"/>
        <c:axId val="7080401"/>
        <c:axId val="63723610"/>
      </c:bar3DChart>
      <c:catAx>
        <c:axId val="7080401"/>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3723610"/>
        <c:crosses val="autoZero"/>
        <c:auto val="1"/>
        <c:lblOffset val="100"/>
        <c:noMultiLvlLbl val="0"/>
      </c:catAx>
      <c:valAx>
        <c:axId val="63723610"/>
        <c:scaling>
          <c:orientation val="minMax"/>
          <c:max val="12000"/>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7080401"/>
        <c:crossesAt val="1"/>
        <c:crossBetween val="between"/>
        <c:dispUnits/>
      </c:valAx>
      <c:spPr>
        <a:noFill/>
        <a:ln>
          <a:noFill/>
        </a:ln>
      </c:spPr>
    </c:plotArea>
    <c:floor>
      <c:thickness val="0"/>
    </c:floor>
    <c:sideWall>
      <c:thickness val="0"/>
    </c:sideWall>
    <c:backWall>
      <c:thickness val="0"/>
    </c:backWall>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COLOMBIA: EVOLUCION DE LOS AFILIADOS Y COTIZANTES (En miles)
</a:t>
            </a:r>
            <a:r>
              <a:rPr lang="en-US" cap="none" sz="900" b="1" i="1" u="none" baseline="0">
                <a:solidFill>
                  <a:srgbClr val="008080"/>
                </a:solidFill>
                <a:latin typeface="Arial"/>
                <a:ea typeface="Arial"/>
                <a:cs typeface="Arial"/>
              </a:rPr>
              <a:t>COLOMBIA: EVOLUTION OF AFFILIATES AND CONTRIBUTORS (In thousand)</a:t>
            </a:r>
          </a:p>
        </c:rich>
      </c:tx>
      <c:layout/>
      <c:spPr>
        <a:noFill/>
        <a:ln>
          <a:noFill/>
        </a:ln>
      </c:spPr>
    </c:title>
    <c:view3D>
      <c:rotX val="15"/>
      <c:rotY val="20"/>
      <c:depthPercent val="100"/>
      <c:rAngAx val="1"/>
    </c:view3D>
    <c:plotArea>
      <c:layout>
        <c:manualLayout>
          <c:xMode val="edge"/>
          <c:yMode val="edge"/>
          <c:x val="0.01125"/>
          <c:y val="0.13625"/>
          <c:w val="0.8765"/>
          <c:h val="0.84475"/>
        </c:manualLayout>
      </c:layout>
      <c:bar3DChart>
        <c:barDir val="col"/>
        <c:grouping val="clustered"/>
        <c:varyColors val="0"/>
        <c:ser>
          <c:idx val="0"/>
          <c:order val="0"/>
          <c:tx>
            <c:strRef>
              <c:f>Hoja25!$B$31</c:f>
              <c:strCache>
                <c:ptCount val="1"/>
                <c:pt idx="0">
                  <c:v>Afiliados</c:v>
                </c:pt>
              </c:strCache>
            </c:strRef>
          </c:tx>
          <c:spPr>
            <a:gradFill rotWithShape="1">
              <a:gsLst>
                <a:gs pos="0">
                  <a:srgbClr val="008080"/>
                </a:gs>
                <a:gs pos="100000">
                  <a:srgbClr val="003B3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Hoja25!$A$32:$A$40</c:f>
              <c:numCache>
                <c:ptCount val="9"/>
                <c:pt idx="0">
                  <c:v>0</c:v>
                </c:pt>
                <c:pt idx="1">
                  <c:v>0</c:v>
                </c:pt>
                <c:pt idx="2">
                  <c:v>0</c:v>
                </c:pt>
                <c:pt idx="3">
                  <c:v>0</c:v>
                </c:pt>
                <c:pt idx="4">
                  <c:v>0</c:v>
                </c:pt>
                <c:pt idx="5">
                  <c:v>0</c:v>
                </c:pt>
                <c:pt idx="6">
                  <c:v>0</c:v>
                </c:pt>
                <c:pt idx="7">
                  <c:v>0</c:v>
                </c:pt>
                <c:pt idx="8">
                  <c:v>0</c:v>
                </c:pt>
              </c:numCache>
            </c:numRef>
          </c:cat>
          <c:val>
            <c:numRef>
              <c:f>Hoja25!$B$32:$B$40</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Hoja25!$C$31</c:f>
              <c:strCache>
                <c:ptCount val="1"/>
                <c:pt idx="0">
                  <c:v>Cotizantes</c:v>
                </c:pt>
              </c:strCache>
            </c:strRef>
          </c:tx>
          <c:spPr>
            <a:gradFill rotWithShape="1">
              <a:gsLst>
                <a:gs pos="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Ref>
              <c:f>Hoja25!$A$32:$A$40</c:f>
              <c:numCache>
                <c:ptCount val="9"/>
                <c:pt idx="0">
                  <c:v>0</c:v>
                </c:pt>
                <c:pt idx="1">
                  <c:v>0</c:v>
                </c:pt>
                <c:pt idx="2">
                  <c:v>0</c:v>
                </c:pt>
                <c:pt idx="3">
                  <c:v>0</c:v>
                </c:pt>
                <c:pt idx="4">
                  <c:v>0</c:v>
                </c:pt>
                <c:pt idx="5">
                  <c:v>0</c:v>
                </c:pt>
                <c:pt idx="6">
                  <c:v>0</c:v>
                </c:pt>
                <c:pt idx="7">
                  <c:v>0</c:v>
                </c:pt>
                <c:pt idx="8">
                  <c:v>0</c:v>
                </c:pt>
              </c:numCache>
            </c:numRef>
          </c:cat>
          <c:val>
            <c:numRef>
              <c:f>Hoja25!$C$32:$C$40</c:f>
              <c:numCache>
                <c:ptCount val="9"/>
                <c:pt idx="0">
                  <c:v>0</c:v>
                </c:pt>
                <c:pt idx="1">
                  <c:v>0</c:v>
                </c:pt>
                <c:pt idx="2">
                  <c:v>0</c:v>
                </c:pt>
                <c:pt idx="3">
                  <c:v>0</c:v>
                </c:pt>
                <c:pt idx="4">
                  <c:v>0</c:v>
                </c:pt>
                <c:pt idx="5">
                  <c:v>0</c:v>
                </c:pt>
                <c:pt idx="6">
                  <c:v>0</c:v>
                </c:pt>
                <c:pt idx="7">
                  <c:v>0</c:v>
                </c:pt>
                <c:pt idx="8">
                  <c:v>0</c:v>
                </c:pt>
              </c:numCache>
            </c:numRef>
          </c:val>
          <c:shape val="box"/>
        </c:ser>
        <c:gapWidth val="60"/>
        <c:shape val="box"/>
        <c:axId val="36641579"/>
        <c:axId val="61338756"/>
      </c:bar3DChart>
      <c:catAx>
        <c:axId val="36641579"/>
        <c:scaling>
          <c:orientation val="minMax"/>
        </c:scaling>
        <c:axPos val="b"/>
        <c:delete val="0"/>
        <c:numFmt formatCode="General" sourceLinked="1"/>
        <c:majorTickMark val="out"/>
        <c:minorTickMark val="none"/>
        <c:tickLblPos val="low"/>
        <c:txPr>
          <a:bodyPr/>
          <a:lstStyle/>
          <a:p>
            <a:pPr>
              <a:defRPr lang="en-US" cap="none" sz="800" b="1" i="0" u="none" baseline="0">
                <a:latin typeface="Arial"/>
                <a:ea typeface="Arial"/>
                <a:cs typeface="Arial"/>
              </a:defRPr>
            </a:pPr>
          </a:p>
        </c:txPr>
        <c:crossAx val="61338756"/>
        <c:crosses val="autoZero"/>
        <c:auto val="1"/>
        <c:lblOffset val="100"/>
        <c:noMultiLvlLbl val="0"/>
      </c:catAx>
      <c:valAx>
        <c:axId val="61338756"/>
        <c:scaling>
          <c:orientation val="minMax"/>
        </c:scaling>
        <c:axPos val="l"/>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6641579"/>
        <c:crossesAt val="1"/>
        <c:crossBetween val="between"/>
        <c:dispUnits/>
      </c:valAx>
      <c:spPr>
        <a:noFill/>
        <a:ln>
          <a:noFill/>
        </a:ln>
      </c:spPr>
    </c:plotArea>
    <c:legend>
      <c:legendPos val="r"/>
      <c:layout>
        <c:manualLayout>
          <c:xMode val="edge"/>
          <c:yMode val="edge"/>
          <c:x val="0.8935"/>
          <c:y val="0.904"/>
        </c:manualLayout>
      </c:layout>
      <c:overlay val="0"/>
      <c:txPr>
        <a:bodyPr vert="horz" rot="0"/>
        <a:lstStyle/>
        <a:p>
          <a:pPr>
            <a:defRPr lang="en-US" cap="none" sz="925" b="0" i="0" u="none" baseline="0">
              <a:latin typeface="Arial"/>
              <a:ea typeface="Arial"/>
              <a:cs typeface="Arial"/>
            </a:defRPr>
          </a:pPr>
        </a:p>
      </c:txPr>
    </c:legend>
    <c:floor>
      <c:thickness val="0"/>
    </c:floor>
    <c:sideWall>
      <c:thickness val="0"/>
    </c:sideWall>
    <c:backWall>
      <c:thickness val="0"/>
    </c:backWall>
    <c:plotVisOnly val="1"/>
    <c:dispBlanksAs val="gap"/>
    <c:showDLblsOverMax val="0"/>
  </c:chart>
  <c:txPr>
    <a:bodyPr vert="horz" rot="0"/>
    <a:lstStyle/>
    <a:p>
      <a:pPr>
        <a:defRPr lang="en-US" cap="none" sz="2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152400</xdr:rowOff>
    </xdr:from>
    <xdr:to>
      <xdr:col>9</xdr:col>
      <xdr:colOff>9525</xdr:colOff>
      <xdr:row>58</xdr:row>
      <xdr:rowOff>76200</xdr:rowOff>
    </xdr:to>
    <xdr:graphicFrame>
      <xdr:nvGraphicFramePr>
        <xdr:cNvPr id="1" name="Chart 1"/>
        <xdr:cNvGraphicFramePr/>
      </xdr:nvGraphicFramePr>
      <xdr:xfrm>
        <a:off x="0" y="5905500"/>
        <a:ext cx="7067550" cy="42957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142875</xdr:rowOff>
    </xdr:from>
    <xdr:to>
      <xdr:col>5</xdr:col>
      <xdr:colOff>933450</xdr:colOff>
      <xdr:row>55</xdr:row>
      <xdr:rowOff>133350</xdr:rowOff>
    </xdr:to>
    <xdr:graphicFrame>
      <xdr:nvGraphicFramePr>
        <xdr:cNvPr id="1" name="Chart 1"/>
        <xdr:cNvGraphicFramePr/>
      </xdr:nvGraphicFramePr>
      <xdr:xfrm>
        <a:off x="0" y="6429375"/>
        <a:ext cx="6943725" cy="3552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5</xdr:col>
      <xdr:colOff>942975</xdr:colOff>
      <xdr:row>58</xdr:row>
      <xdr:rowOff>38100</xdr:rowOff>
    </xdr:to>
    <xdr:graphicFrame>
      <xdr:nvGraphicFramePr>
        <xdr:cNvPr id="1" name="Chart 1"/>
        <xdr:cNvGraphicFramePr/>
      </xdr:nvGraphicFramePr>
      <xdr:xfrm>
        <a:off x="0" y="7010400"/>
        <a:ext cx="6953250" cy="3276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66675</xdr:rowOff>
    </xdr:from>
    <xdr:to>
      <xdr:col>9</xdr:col>
      <xdr:colOff>0</xdr:colOff>
      <xdr:row>58</xdr:row>
      <xdr:rowOff>142875</xdr:rowOff>
    </xdr:to>
    <xdr:graphicFrame>
      <xdr:nvGraphicFramePr>
        <xdr:cNvPr id="1" name="Chart 1"/>
        <xdr:cNvGraphicFramePr/>
      </xdr:nvGraphicFramePr>
      <xdr:xfrm>
        <a:off x="0" y="6096000"/>
        <a:ext cx="7058025" cy="4524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6</xdr:col>
      <xdr:colOff>9525</xdr:colOff>
      <xdr:row>55</xdr:row>
      <xdr:rowOff>133350</xdr:rowOff>
    </xdr:to>
    <xdr:graphicFrame>
      <xdr:nvGraphicFramePr>
        <xdr:cNvPr id="1" name="Chart 1"/>
        <xdr:cNvGraphicFramePr/>
      </xdr:nvGraphicFramePr>
      <xdr:xfrm>
        <a:off x="0" y="7515225"/>
        <a:ext cx="6972300" cy="3200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123825</xdr:rowOff>
    </xdr:from>
    <xdr:to>
      <xdr:col>6</xdr:col>
      <xdr:colOff>9525</xdr:colOff>
      <xdr:row>52</xdr:row>
      <xdr:rowOff>19050</xdr:rowOff>
    </xdr:to>
    <xdr:graphicFrame>
      <xdr:nvGraphicFramePr>
        <xdr:cNvPr id="1" name="Chart 1"/>
        <xdr:cNvGraphicFramePr/>
      </xdr:nvGraphicFramePr>
      <xdr:xfrm>
        <a:off x="0" y="5553075"/>
        <a:ext cx="6962775" cy="3924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133350</xdr:rowOff>
    </xdr:from>
    <xdr:to>
      <xdr:col>5</xdr:col>
      <xdr:colOff>923925</xdr:colOff>
      <xdr:row>53</xdr:row>
      <xdr:rowOff>152400</xdr:rowOff>
    </xdr:to>
    <xdr:graphicFrame>
      <xdr:nvGraphicFramePr>
        <xdr:cNvPr id="1" name="Chart 1"/>
        <xdr:cNvGraphicFramePr/>
      </xdr:nvGraphicFramePr>
      <xdr:xfrm>
        <a:off x="0" y="5819775"/>
        <a:ext cx="6934200" cy="40671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152400</xdr:rowOff>
    </xdr:from>
    <xdr:to>
      <xdr:col>9</xdr:col>
      <xdr:colOff>0</xdr:colOff>
      <xdr:row>48</xdr:row>
      <xdr:rowOff>142875</xdr:rowOff>
    </xdr:to>
    <xdr:graphicFrame>
      <xdr:nvGraphicFramePr>
        <xdr:cNvPr id="1" name="Chart 1"/>
        <xdr:cNvGraphicFramePr/>
      </xdr:nvGraphicFramePr>
      <xdr:xfrm>
        <a:off x="0" y="4029075"/>
        <a:ext cx="7058025" cy="45243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152400</xdr:rowOff>
    </xdr:from>
    <xdr:to>
      <xdr:col>6</xdr:col>
      <xdr:colOff>0</xdr:colOff>
      <xdr:row>47</xdr:row>
      <xdr:rowOff>123825</xdr:rowOff>
    </xdr:to>
    <xdr:graphicFrame>
      <xdr:nvGraphicFramePr>
        <xdr:cNvPr id="1" name="Chart 1"/>
        <xdr:cNvGraphicFramePr/>
      </xdr:nvGraphicFramePr>
      <xdr:xfrm>
        <a:off x="0" y="4429125"/>
        <a:ext cx="6962775" cy="3857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133350</xdr:rowOff>
    </xdr:from>
    <xdr:to>
      <xdr:col>8</xdr:col>
      <xdr:colOff>752475</xdr:colOff>
      <xdr:row>53</xdr:row>
      <xdr:rowOff>152400</xdr:rowOff>
    </xdr:to>
    <xdr:graphicFrame>
      <xdr:nvGraphicFramePr>
        <xdr:cNvPr id="1" name="Chart 1"/>
        <xdr:cNvGraphicFramePr/>
      </xdr:nvGraphicFramePr>
      <xdr:xfrm>
        <a:off x="0" y="7381875"/>
        <a:ext cx="7048500" cy="29337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9525</xdr:rowOff>
    </xdr:from>
    <xdr:to>
      <xdr:col>5</xdr:col>
      <xdr:colOff>1000125</xdr:colOff>
      <xdr:row>56</xdr:row>
      <xdr:rowOff>142875</xdr:rowOff>
    </xdr:to>
    <xdr:graphicFrame>
      <xdr:nvGraphicFramePr>
        <xdr:cNvPr id="1" name="Chart 1"/>
        <xdr:cNvGraphicFramePr/>
      </xdr:nvGraphicFramePr>
      <xdr:xfrm>
        <a:off x="0" y="8153400"/>
        <a:ext cx="6943725" cy="2400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142875</xdr:rowOff>
    </xdr:from>
    <xdr:to>
      <xdr:col>6</xdr:col>
      <xdr:colOff>0</xdr:colOff>
      <xdr:row>58</xdr:row>
      <xdr:rowOff>9525</xdr:rowOff>
    </xdr:to>
    <xdr:graphicFrame>
      <xdr:nvGraphicFramePr>
        <xdr:cNvPr id="1" name="Chart 1"/>
        <xdr:cNvGraphicFramePr/>
      </xdr:nvGraphicFramePr>
      <xdr:xfrm>
        <a:off x="0" y="7677150"/>
        <a:ext cx="6962775" cy="27813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5</xdr:col>
      <xdr:colOff>1000125</xdr:colOff>
      <xdr:row>52</xdr:row>
      <xdr:rowOff>19050</xdr:rowOff>
    </xdr:to>
    <xdr:graphicFrame>
      <xdr:nvGraphicFramePr>
        <xdr:cNvPr id="1" name="Chart 1"/>
        <xdr:cNvGraphicFramePr/>
      </xdr:nvGraphicFramePr>
      <xdr:xfrm>
        <a:off x="0" y="6210300"/>
        <a:ext cx="6934200" cy="37433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152400</xdr:rowOff>
    </xdr:from>
    <xdr:to>
      <xdr:col>5</xdr:col>
      <xdr:colOff>1000125</xdr:colOff>
      <xdr:row>51</xdr:row>
      <xdr:rowOff>133350</xdr:rowOff>
    </xdr:to>
    <xdr:graphicFrame>
      <xdr:nvGraphicFramePr>
        <xdr:cNvPr id="1" name="Chart 1"/>
        <xdr:cNvGraphicFramePr/>
      </xdr:nvGraphicFramePr>
      <xdr:xfrm>
        <a:off x="0" y="6496050"/>
        <a:ext cx="6943725" cy="33813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9</xdr:col>
      <xdr:colOff>0</xdr:colOff>
      <xdr:row>48</xdr:row>
      <xdr:rowOff>152400</xdr:rowOff>
    </xdr:to>
    <xdr:graphicFrame>
      <xdr:nvGraphicFramePr>
        <xdr:cNvPr id="1" name="Chart 1"/>
        <xdr:cNvGraphicFramePr/>
      </xdr:nvGraphicFramePr>
      <xdr:xfrm>
        <a:off x="0" y="4219575"/>
        <a:ext cx="7058025" cy="43624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6</xdr:col>
      <xdr:colOff>0</xdr:colOff>
      <xdr:row>49</xdr:row>
      <xdr:rowOff>19050</xdr:rowOff>
    </xdr:to>
    <xdr:graphicFrame>
      <xdr:nvGraphicFramePr>
        <xdr:cNvPr id="1" name="Chart 1"/>
        <xdr:cNvGraphicFramePr/>
      </xdr:nvGraphicFramePr>
      <xdr:xfrm>
        <a:off x="0" y="4619625"/>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142875</xdr:rowOff>
    </xdr:from>
    <xdr:to>
      <xdr:col>8</xdr:col>
      <xdr:colOff>752475</xdr:colOff>
      <xdr:row>47</xdr:row>
      <xdr:rowOff>133350</xdr:rowOff>
    </xdr:to>
    <xdr:graphicFrame>
      <xdr:nvGraphicFramePr>
        <xdr:cNvPr id="1" name="Chart 1"/>
        <xdr:cNvGraphicFramePr/>
      </xdr:nvGraphicFramePr>
      <xdr:xfrm>
        <a:off x="0" y="4200525"/>
        <a:ext cx="7048500" cy="42005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6</xdr:col>
      <xdr:colOff>0</xdr:colOff>
      <xdr:row>47</xdr:row>
      <xdr:rowOff>0</xdr:rowOff>
    </xdr:to>
    <xdr:graphicFrame>
      <xdr:nvGraphicFramePr>
        <xdr:cNvPr id="1" name="Chart 1"/>
        <xdr:cNvGraphicFramePr/>
      </xdr:nvGraphicFramePr>
      <xdr:xfrm>
        <a:off x="0" y="4619625"/>
        <a:ext cx="6962775" cy="35718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47625</xdr:rowOff>
    </xdr:from>
    <xdr:to>
      <xdr:col>5</xdr:col>
      <xdr:colOff>1000125</xdr:colOff>
      <xdr:row>58</xdr:row>
      <xdr:rowOff>152400</xdr:rowOff>
    </xdr:to>
    <xdr:graphicFrame>
      <xdr:nvGraphicFramePr>
        <xdr:cNvPr id="1" name="Chart 1"/>
        <xdr:cNvGraphicFramePr/>
      </xdr:nvGraphicFramePr>
      <xdr:xfrm>
        <a:off x="0" y="7467600"/>
        <a:ext cx="6943725" cy="3238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104775</xdr:rowOff>
    </xdr:from>
    <xdr:to>
      <xdr:col>6</xdr:col>
      <xdr:colOff>0</xdr:colOff>
      <xdr:row>57</xdr:row>
      <xdr:rowOff>0</xdr:rowOff>
    </xdr:to>
    <xdr:graphicFrame>
      <xdr:nvGraphicFramePr>
        <xdr:cNvPr id="1" name="Chart 1"/>
        <xdr:cNvGraphicFramePr/>
      </xdr:nvGraphicFramePr>
      <xdr:xfrm>
        <a:off x="0" y="7858125"/>
        <a:ext cx="6772275" cy="24860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85725</xdr:rowOff>
    </xdr:from>
    <xdr:to>
      <xdr:col>5</xdr:col>
      <xdr:colOff>723900</xdr:colOff>
      <xdr:row>35</xdr:row>
      <xdr:rowOff>76200</xdr:rowOff>
    </xdr:to>
    <xdr:graphicFrame>
      <xdr:nvGraphicFramePr>
        <xdr:cNvPr id="1" name="Chart 1"/>
        <xdr:cNvGraphicFramePr/>
      </xdr:nvGraphicFramePr>
      <xdr:xfrm>
        <a:off x="0" y="3533775"/>
        <a:ext cx="6800850" cy="32004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5</xdr:col>
      <xdr:colOff>561975</xdr:colOff>
      <xdr:row>44</xdr:row>
      <xdr:rowOff>0</xdr:rowOff>
    </xdr:to>
    <xdr:graphicFrame>
      <xdr:nvGraphicFramePr>
        <xdr:cNvPr id="1" name="Chart 1"/>
        <xdr:cNvGraphicFramePr/>
      </xdr:nvGraphicFramePr>
      <xdr:xfrm>
        <a:off x="0" y="4143375"/>
        <a:ext cx="7096125" cy="340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104775</xdr:rowOff>
    </xdr:from>
    <xdr:to>
      <xdr:col>9</xdr:col>
      <xdr:colOff>0</xdr:colOff>
      <xdr:row>47</xdr:row>
      <xdr:rowOff>114300</xdr:rowOff>
    </xdr:to>
    <xdr:graphicFrame>
      <xdr:nvGraphicFramePr>
        <xdr:cNvPr id="1" name="Chart 1"/>
        <xdr:cNvGraphicFramePr/>
      </xdr:nvGraphicFramePr>
      <xdr:xfrm>
        <a:off x="0" y="4286250"/>
        <a:ext cx="7058025" cy="42195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6</xdr:col>
      <xdr:colOff>9525</xdr:colOff>
      <xdr:row>54</xdr:row>
      <xdr:rowOff>152400</xdr:rowOff>
    </xdr:to>
    <xdr:graphicFrame>
      <xdr:nvGraphicFramePr>
        <xdr:cNvPr id="1" name="Chart 1"/>
        <xdr:cNvGraphicFramePr/>
      </xdr:nvGraphicFramePr>
      <xdr:xfrm>
        <a:off x="0" y="6296025"/>
        <a:ext cx="7038975" cy="3543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5</xdr:col>
      <xdr:colOff>1000125</xdr:colOff>
      <xdr:row>54</xdr:row>
      <xdr:rowOff>152400</xdr:rowOff>
    </xdr:to>
    <xdr:graphicFrame>
      <xdr:nvGraphicFramePr>
        <xdr:cNvPr id="1" name="Chart 1"/>
        <xdr:cNvGraphicFramePr/>
      </xdr:nvGraphicFramePr>
      <xdr:xfrm>
        <a:off x="0" y="6553200"/>
        <a:ext cx="7010400" cy="34004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133350</xdr:rowOff>
    </xdr:from>
    <xdr:to>
      <xdr:col>5</xdr:col>
      <xdr:colOff>857250</xdr:colOff>
      <xdr:row>56</xdr:row>
      <xdr:rowOff>0</xdr:rowOff>
    </xdr:to>
    <xdr:graphicFrame>
      <xdr:nvGraphicFramePr>
        <xdr:cNvPr id="1" name="Chart 1"/>
        <xdr:cNvGraphicFramePr/>
      </xdr:nvGraphicFramePr>
      <xdr:xfrm>
        <a:off x="0" y="6610350"/>
        <a:ext cx="7000875" cy="40386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57150</xdr:rowOff>
    </xdr:from>
    <xdr:to>
      <xdr:col>5</xdr:col>
      <xdr:colOff>895350</xdr:colOff>
      <xdr:row>59</xdr:row>
      <xdr:rowOff>133350</xdr:rowOff>
    </xdr:to>
    <xdr:graphicFrame>
      <xdr:nvGraphicFramePr>
        <xdr:cNvPr id="1" name="Chart 1"/>
        <xdr:cNvGraphicFramePr/>
      </xdr:nvGraphicFramePr>
      <xdr:xfrm>
        <a:off x="0" y="7162800"/>
        <a:ext cx="7210425" cy="347662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5</xdr:col>
      <xdr:colOff>742950</xdr:colOff>
      <xdr:row>55</xdr:row>
      <xdr:rowOff>142875</xdr:rowOff>
    </xdr:to>
    <xdr:graphicFrame>
      <xdr:nvGraphicFramePr>
        <xdr:cNvPr id="1" name="Chart 1"/>
        <xdr:cNvGraphicFramePr/>
      </xdr:nvGraphicFramePr>
      <xdr:xfrm>
        <a:off x="0" y="7439025"/>
        <a:ext cx="6896100" cy="307657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19050</xdr:rowOff>
    </xdr:from>
    <xdr:to>
      <xdr:col>6</xdr:col>
      <xdr:colOff>0</xdr:colOff>
      <xdr:row>51</xdr:row>
      <xdr:rowOff>0</xdr:rowOff>
    </xdr:to>
    <xdr:graphicFrame>
      <xdr:nvGraphicFramePr>
        <xdr:cNvPr id="1" name="Chart 1"/>
        <xdr:cNvGraphicFramePr/>
      </xdr:nvGraphicFramePr>
      <xdr:xfrm>
        <a:off x="0" y="6134100"/>
        <a:ext cx="6915150" cy="305752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5</xdr:col>
      <xdr:colOff>742950</xdr:colOff>
      <xdr:row>46</xdr:row>
      <xdr:rowOff>0</xdr:rowOff>
    </xdr:to>
    <xdr:graphicFrame>
      <xdr:nvGraphicFramePr>
        <xdr:cNvPr id="1" name="Chart 1"/>
        <xdr:cNvGraphicFramePr/>
      </xdr:nvGraphicFramePr>
      <xdr:xfrm>
        <a:off x="0" y="5162550"/>
        <a:ext cx="6896100" cy="339090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5</xdr:col>
      <xdr:colOff>752475</xdr:colOff>
      <xdr:row>42</xdr:row>
      <xdr:rowOff>19050</xdr:rowOff>
    </xdr:to>
    <xdr:graphicFrame>
      <xdr:nvGraphicFramePr>
        <xdr:cNvPr id="1" name="Chart 1"/>
        <xdr:cNvGraphicFramePr/>
      </xdr:nvGraphicFramePr>
      <xdr:xfrm>
        <a:off x="0" y="4276725"/>
        <a:ext cx="6905625" cy="31051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133350</xdr:rowOff>
    </xdr:from>
    <xdr:to>
      <xdr:col>6</xdr:col>
      <xdr:colOff>0</xdr:colOff>
      <xdr:row>45</xdr:row>
      <xdr:rowOff>123825</xdr:rowOff>
    </xdr:to>
    <xdr:graphicFrame>
      <xdr:nvGraphicFramePr>
        <xdr:cNvPr id="1" name="Chart 1"/>
        <xdr:cNvGraphicFramePr/>
      </xdr:nvGraphicFramePr>
      <xdr:xfrm>
        <a:off x="0" y="4991100"/>
        <a:ext cx="6915150" cy="30670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5</xdr:col>
      <xdr:colOff>752475</xdr:colOff>
      <xdr:row>50</xdr:row>
      <xdr:rowOff>152400</xdr:rowOff>
    </xdr:to>
    <xdr:graphicFrame>
      <xdr:nvGraphicFramePr>
        <xdr:cNvPr id="1" name="Chart 1"/>
        <xdr:cNvGraphicFramePr/>
      </xdr:nvGraphicFramePr>
      <xdr:xfrm>
        <a:off x="0" y="6096000"/>
        <a:ext cx="6905625" cy="3067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142875</xdr:rowOff>
    </xdr:from>
    <xdr:to>
      <xdr:col>6</xdr:col>
      <xdr:colOff>0</xdr:colOff>
      <xdr:row>52</xdr:row>
      <xdr:rowOff>57150</xdr:rowOff>
    </xdr:to>
    <xdr:graphicFrame>
      <xdr:nvGraphicFramePr>
        <xdr:cNvPr id="1" name="Chart 1"/>
        <xdr:cNvGraphicFramePr/>
      </xdr:nvGraphicFramePr>
      <xdr:xfrm>
        <a:off x="0" y="5610225"/>
        <a:ext cx="6962775" cy="380047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6</xdr:col>
      <xdr:colOff>0</xdr:colOff>
      <xdr:row>55</xdr:row>
      <xdr:rowOff>152400</xdr:rowOff>
    </xdr:to>
    <xdr:graphicFrame>
      <xdr:nvGraphicFramePr>
        <xdr:cNvPr id="1" name="Chart 1"/>
        <xdr:cNvGraphicFramePr/>
      </xdr:nvGraphicFramePr>
      <xdr:xfrm>
        <a:off x="0" y="7629525"/>
        <a:ext cx="6915150" cy="30670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41</xdr:row>
      <xdr:rowOff>0</xdr:rowOff>
    </xdr:to>
    <xdr:graphicFrame>
      <xdr:nvGraphicFramePr>
        <xdr:cNvPr id="1" name="Chart 1"/>
        <xdr:cNvGraphicFramePr/>
      </xdr:nvGraphicFramePr>
      <xdr:xfrm>
        <a:off x="0" y="4391025"/>
        <a:ext cx="6915150" cy="307657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5</xdr:col>
      <xdr:colOff>752475</xdr:colOff>
      <xdr:row>41</xdr:row>
      <xdr:rowOff>142875</xdr:rowOff>
    </xdr:to>
    <xdr:graphicFrame>
      <xdr:nvGraphicFramePr>
        <xdr:cNvPr id="1" name="Chart 1"/>
        <xdr:cNvGraphicFramePr/>
      </xdr:nvGraphicFramePr>
      <xdr:xfrm>
        <a:off x="0" y="4314825"/>
        <a:ext cx="6905625" cy="3057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6</xdr:col>
      <xdr:colOff>0</xdr:colOff>
      <xdr:row>45</xdr:row>
      <xdr:rowOff>152400</xdr:rowOff>
    </xdr:to>
    <xdr:graphicFrame>
      <xdr:nvGraphicFramePr>
        <xdr:cNvPr id="1" name="Chart 1"/>
        <xdr:cNvGraphicFramePr/>
      </xdr:nvGraphicFramePr>
      <xdr:xfrm>
        <a:off x="0" y="5019675"/>
        <a:ext cx="6915150" cy="306705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6</xdr:col>
      <xdr:colOff>0</xdr:colOff>
      <xdr:row>41</xdr:row>
      <xdr:rowOff>152400</xdr:rowOff>
    </xdr:to>
    <xdr:graphicFrame>
      <xdr:nvGraphicFramePr>
        <xdr:cNvPr id="1" name="Chart 1"/>
        <xdr:cNvGraphicFramePr/>
      </xdr:nvGraphicFramePr>
      <xdr:xfrm>
        <a:off x="0" y="4581525"/>
        <a:ext cx="6915150" cy="3086100"/>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152400</xdr:rowOff>
    </xdr:from>
    <xdr:to>
      <xdr:col>6</xdr:col>
      <xdr:colOff>0</xdr:colOff>
      <xdr:row>47</xdr:row>
      <xdr:rowOff>152400</xdr:rowOff>
    </xdr:to>
    <xdr:graphicFrame>
      <xdr:nvGraphicFramePr>
        <xdr:cNvPr id="1" name="Chart 1"/>
        <xdr:cNvGraphicFramePr/>
      </xdr:nvGraphicFramePr>
      <xdr:xfrm>
        <a:off x="0" y="6619875"/>
        <a:ext cx="6915150" cy="3076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152400</xdr:rowOff>
    </xdr:from>
    <xdr:to>
      <xdr:col>6</xdr:col>
      <xdr:colOff>0</xdr:colOff>
      <xdr:row>47</xdr:row>
      <xdr:rowOff>152400</xdr:rowOff>
    </xdr:to>
    <xdr:graphicFrame>
      <xdr:nvGraphicFramePr>
        <xdr:cNvPr id="2" name="Chart 2"/>
        <xdr:cNvGraphicFramePr/>
      </xdr:nvGraphicFramePr>
      <xdr:xfrm>
        <a:off x="0" y="6619875"/>
        <a:ext cx="6915150" cy="30765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19050</xdr:rowOff>
    </xdr:from>
    <xdr:to>
      <xdr:col>5</xdr:col>
      <xdr:colOff>847725</xdr:colOff>
      <xdr:row>53</xdr:row>
      <xdr:rowOff>133350</xdr:rowOff>
    </xdr:to>
    <xdr:graphicFrame>
      <xdr:nvGraphicFramePr>
        <xdr:cNvPr id="1" name="Chart 1"/>
        <xdr:cNvGraphicFramePr/>
      </xdr:nvGraphicFramePr>
      <xdr:xfrm>
        <a:off x="0" y="6724650"/>
        <a:ext cx="7000875" cy="2867025"/>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6</xdr:col>
      <xdr:colOff>0</xdr:colOff>
      <xdr:row>37</xdr:row>
      <xdr:rowOff>9525</xdr:rowOff>
    </xdr:to>
    <xdr:graphicFrame>
      <xdr:nvGraphicFramePr>
        <xdr:cNvPr id="1" name="Chart 1"/>
        <xdr:cNvGraphicFramePr/>
      </xdr:nvGraphicFramePr>
      <xdr:xfrm>
        <a:off x="0" y="3362325"/>
        <a:ext cx="6915150" cy="3114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9525</xdr:rowOff>
    </xdr:from>
    <xdr:to>
      <xdr:col>6</xdr:col>
      <xdr:colOff>0</xdr:colOff>
      <xdr:row>37</xdr:row>
      <xdr:rowOff>9525</xdr:rowOff>
    </xdr:to>
    <xdr:graphicFrame>
      <xdr:nvGraphicFramePr>
        <xdr:cNvPr id="2" name="Chart 2"/>
        <xdr:cNvGraphicFramePr/>
      </xdr:nvGraphicFramePr>
      <xdr:xfrm>
        <a:off x="0" y="3362325"/>
        <a:ext cx="6915150" cy="3114675"/>
      </xdr:xfrm>
      <a:graphic>
        <a:graphicData uri="http://schemas.openxmlformats.org/drawingml/2006/chart">
          <c:chart xmlns:c="http://schemas.openxmlformats.org/drawingml/2006/chart" r:id="rId2"/>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6</xdr:col>
      <xdr:colOff>0</xdr:colOff>
      <xdr:row>58</xdr:row>
      <xdr:rowOff>0</xdr:rowOff>
    </xdr:to>
    <xdr:graphicFrame>
      <xdr:nvGraphicFramePr>
        <xdr:cNvPr id="1" name="Chart 1"/>
        <xdr:cNvGraphicFramePr/>
      </xdr:nvGraphicFramePr>
      <xdr:xfrm>
        <a:off x="0" y="8124825"/>
        <a:ext cx="6915150" cy="2447925"/>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5</xdr:col>
      <xdr:colOff>742950</xdr:colOff>
      <xdr:row>43</xdr:row>
      <xdr:rowOff>142875</xdr:rowOff>
    </xdr:to>
    <xdr:graphicFrame>
      <xdr:nvGraphicFramePr>
        <xdr:cNvPr id="1" name="Chart 1"/>
        <xdr:cNvGraphicFramePr/>
      </xdr:nvGraphicFramePr>
      <xdr:xfrm>
        <a:off x="0" y="4981575"/>
        <a:ext cx="689610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47625</xdr:rowOff>
    </xdr:from>
    <xdr:to>
      <xdr:col>5</xdr:col>
      <xdr:colOff>990600</xdr:colOff>
      <xdr:row>60</xdr:row>
      <xdr:rowOff>0</xdr:rowOff>
    </xdr:to>
    <xdr:graphicFrame>
      <xdr:nvGraphicFramePr>
        <xdr:cNvPr id="1" name="Chart 1"/>
        <xdr:cNvGraphicFramePr/>
      </xdr:nvGraphicFramePr>
      <xdr:xfrm>
        <a:off x="0" y="7305675"/>
        <a:ext cx="6934200" cy="3248025"/>
      </xdr:xfrm>
      <a:graphic>
        <a:graphicData uri="http://schemas.openxmlformats.org/drawingml/2006/chart">
          <c:chart xmlns:c="http://schemas.openxmlformats.org/drawingml/2006/chart" r:id="rId1"/>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76200</xdr:rowOff>
    </xdr:from>
    <xdr:to>
      <xdr:col>5</xdr:col>
      <xdr:colOff>742950</xdr:colOff>
      <xdr:row>56</xdr:row>
      <xdr:rowOff>152400</xdr:rowOff>
    </xdr:to>
    <xdr:graphicFrame>
      <xdr:nvGraphicFramePr>
        <xdr:cNvPr id="1" name="Chart 1"/>
        <xdr:cNvGraphicFramePr/>
      </xdr:nvGraphicFramePr>
      <xdr:xfrm>
        <a:off x="0" y="7096125"/>
        <a:ext cx="6896100" cy="3105150"/>
      </xdr:xfrm>
      <a:graphic>
        <a:graphicData uri="http://schemas.openxmlformats.org/drawingml/2006/chart">
          <c:chart xmlns:c="http://schemas.openxmlformats.org/drawingml/2006/chart" r:id="rId1"/>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10</xdr:col>
      <xdr:colOff>0</xdr:colOff>
      <xdr:row>13</xdr:row>
      <xdr:rowOff>0</xdr:rowOff>
    </xdr:to>
    <xdr:sp>
      <xdr:nvSpPr>
        <xdr:cNvPr id="1" name="Rectangle 1"/>
        <xdr:cNvSpPr>
          <a:spLocks/>
        </xdr:cNvSpPr>
      </xdr:nvSpPr>
      <xdr:spPr>
        <a:xfrm>
          <a:off x="781050" y="1905000"/>
          <a:ext cx="710565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5</xdr:col>
      <xdr:colOff>1000125</xdr:colOff>
      <xdr:row>60</xdr:row>
      <xdr:rowOff>133350</xdr:rowOff>
    </xdr:to>
    <xdr:graphicFrame>
      <xdr:nvGraphicFramePr>
        <xdr:cNvPr id="1" name="Chart 1"/>
        <xdr:cNvGraphicFramePr/>
      </xdr:nvGraphicFramePr>
      <xdr:xfrm>
        <a:off x="0" y="7658100"/>
        <a:ext cx="6943725"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85725</xdr:rowOff>
    </xdr:from>
    <xdr:to>
      <xdr:col>3</xdr:col>
      <xdr:colOff>1295400</xdr:colOff>
      <xdr:row>39</xdr:row>
      <xdr:rowOff>66675</xdr:rowOff>
    </xdr:to>
    <xdr:graphicFrame>
      <xdr:nvGraphicFramePr>
        <xdr:cNvPr id="1" name="Chart 1"/>
        <xdr:cNvGraphicFramePr/>
      </xdr:nvGraphicFramePr>
      <xdr:xfrm>
        <a:off x="0" y="3914775"/>
        <a:ext cx="6858000" cy="3086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152400</xdr:rowOff>
    </xdr:from>
    <xdr:to>
      <xdr:col>3</xdr:col>
      <xdr:colOff>1295400</xdr:colOff>
      <xdr:row>60</xdr:row>
      <xdr:rowOff>123825</xdr:rowOff>
    </xdr:to>
    <xdr:graphicFrame>
      <xdr:nvGraphicFramePr>
        <xdr:cNvPr id="2" name="Chart 2"/>
        <xdr:cNvGraphicFramePr/>
      </xdr:nvGraphicFramePr>
      <xdr:xfrm>
        <a:off x="0" y="7086600"/>
        <a:ext cx="6858000" cy="3371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9</xdr:col>
      <xdr:colOff>0</xdr:colOff>
      <xdr:row>54</xdr:row>
      <xdr:rowOff>152400</xdr:rowOff>
    </xdr:to>
    <xdr:graphicFrame>
      <xdr:nvGraphicFramePr>
        <xdr:cNvPr id="1" name="Chart 1"/>
        <xdr:cNvGraphicFramePr/>
      </xdr:nvGraphicFramePr>
      <xdr:xfrm>
        <a:off x="0" y="6086475"/>
        <a:ext cx="7058025" cy="40576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5</xdr:col>
      <xdr:colOff>990600</xdr:colOff>
      <xdr:row>54</xdr:row>
      <xdr:rowOff>142875</xdr:rowOff>
    </xdr:to>
    <xdr:graphicFrame>
      <xdr:nvGraphicFramePr>
        <xdr:cNvPr id="1" name="Chart 1"/>
        <xdr:cNvGraphicFramePr/>
      </xdr:nvGraphicFramePr>
      <xdr:xfrm>
        <a:off x="0" y="6419850"/>
        <a:ext cx="6934200" cy="3381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letin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letin13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io\Brasil\AbrappMayo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BOLETIN%2012\Directorio\Brasil\AbrappMayo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RP-Conf&#237;a-2002\Estadisticas-SIP-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letin11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letin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7"/>
      <sheetName val="Hoja88"/>
      <sheetName val="Hoja89"/>
      <sheetName val="Hoja90"/>
      <sheetName val="Hoja91"/>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81"/>
      <sheetName val="Hoja82"/>
      <sheetName val="Hoja83"/>
      <sheetName val="Hoja84"/>
      <sheetName val="Hoja85"/>
      <sheetName val="Hoja86"/>
      <sheetName val="Hoja92"/>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s>
    <sheetDataSet>
      <sheetData sheetId="54">
        <row r="31">
          <cell r="A31" t="str">
            <v>Sector Estatal</v>
          </cell>
          <cell r="B31">
            <v>0.5559645716041967</v>
          </cell>
        </row>
        <row r="32">
          <cell r="A32" t="str">
            <v>Sector Empresas</v>
          </cell>
          <cell r="B32">
            <v>0.22630306925022003</v>
          </cell>
        </row>
        <row r="33">
          <cell r="A33" t="str">
            <v>Sector Financiero</v>
          </cell>
          <cell r="B33">
            <v>0.111021081013118</v>
          </cell>
        </row>
        <row r="34">
          <cell r="A34" t="str">
            <v>Sector Extranjero</v>
          </cell>
          <cell r="B34">
            <v>0.055817884634190636</v>
          </cell>
        </row>
        <row r="35">
          <cell r="A35" t="str">
            <v>Activos Disponibles</v>
          </cell>
          <cell r="B35">
            <v>0.05089339349827468</v>
          </cell>
        </row>
      </sheetData>
      <sheetData sheetId="56">
        <row r="21">
          <cell r="A21" t="str">
            <v>Sector Estatal</v>
          </cell>
          <cell r="B21">
            <v>0.630999439117545</v>
          </cell>
        </row>
        <row r="22">
          <cell r="A22" t="str">
            <v>Sector Empresas</v>
          </cell>
          <cell r="B22">
            <v>0.010000734488929248</v>
          </cell>
        </row>
        <row r="23">
          <cell r="A23" t="str">
            <v>Sector Financiero</v>
          </cell>
          <cell r="B23">
            <v>0.3589998263935258</v>
          </cell>
        </row>
      </sheetData>
      <sheetData sheetId="84">
        <row r="12">
          <cell r="B12">
            <v>502592.751</v>
          </cell>
          <cell r="C12">
            <v>555114</v>
          </cell>
        </row>
        <row r="28">
          <cell r="B28">
            <v>13557</v>
          </cell>
          <cell r="C28">
            <v>12596</v>
          </cell>
        </row>
        <row r="31">
          <cell r="B31">
            <v>6987</v>
          </cell>
          <cell r="C31">
            <v>6127</v>
          </cell>
        </row>
        <row r="32">
          <cell r="B32">
            <v>343934</v>
          </cell>
          <cell r="C32">
            <v>302491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s>
    <sheetDataSet>
      <sheetData sheetId="6">
        <row r="34">
          <cell r="A34" t="str">
            <v>Renta Fija</v>
          </cell>
          <cell r="B34">
            <v>0.9272146260081641</v>
          </cell>
        </row>
        <row r="35">
          <cell r="A35" t="str">
            <v>Renta Variable</v>
          </cell>
          <cell r="B35">
            <v>0.06430430389453415</v>
          </cell>
        </row>
        <row r="36">
          <cell r="A36" t="str">
            <v>Depósitos a la Vista</v>
          </cell>
          <cell r="B36">
            <v>0.012009244965826631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filiados"/>
      <sheetName val="Fondos"/>
      <sheetName val="Cartera"/>
      <sheetName val="Evolución"/>
      <sheetName val="Rentabilidad"/>
      <sheetName val="Plan3"/>
    </sheetNames>
    <sheetDataSet>
      <sheetData sheetId="5">
        <row r="1">
          <cell r="A1" t="str">
            <v>PREVI</v>
          </cell>
          <cell r="B1">
            <v>31976235.17809</v>
          </cell>
          <cell r="C1">
            <v>73467</v>
          </cell>
        </row>
        <row r="2">
          <cell r="A2" t="str">
            <v>SISTEL</v>
          </cell>
          <cell r="B2">
            <v>7541292.000560001</v>
          </cell>
          <cell r="C2">
            <v>47344</v>
          </cell>
        </row>
        <row r="3">
          <cell r="A3" t="str">
            <v>PETROS</v>
          </cell>
          <cell r="B3">
            <v>6707600.60439</v>
          </cell>
          <cell r="C3">
            <v>40183</v>
          </cell>
        </row>
        <row r="4">
          <cell r="A4" t="str">
            <v>FUNCEF</v>
          </cell>
          <cell r="B4">
            <v>6577083.4524300005</v>
          </cell>
          <cell r="C4">
            <v>54602</v>
          </cell>
        </row>
        <row r="5">
          <cell r="A5" t="str">
            <v>FUNDACAO CESP</v>
          </cell>
          <cell r="B5">
            <v>4369264.22317</v>
          </cell>
          <cell r="C5">
            <v>24716</v>
          </cell>
        </row>
        <row r="6">
          <cell r="A6" t="str">
            <v>CENTRUS</v>
          </cell>
          <cell r="B6">
            <v>3539884.64004</v>
          </cell>
          <cell r="C6">
            <v>86</v>
          </cell>
        </row>
        <row r="7">
          <cell r="A7" t="str">
            <v>ITAUBANCO</v>
          </cell>
          <cell r="B7">
            <v>2835187.4298400003</v>
          </cell>
          <cell r="C7">
            <v>35521</v>
          </cell>
        </row>
        <row r="8">
          <cell r="A8" t="str">
            <v>VALIA</v>
          </cell>
          <cell r="B8">
            <v>2471649</v>
          </cell>
          <cell r="C8">
            <v>12793</v>
          </cell>
        </row>
        <row r="9">
          <cell r="A9" t="str">
            <v>FORLUZ</v>
          </cell>
          <cell r="B9">
            <v>1983078.74859</v>
          </cell>
          <cell r="C9">
            <v>11699</v>
          </cell>
        </row>
        <row r="10">
          <cell r="A10" t="str">
            <v>REAL GRANDEZA</v>
          </cell>
          <cell r="B10">
            <v>1625450.07807</v>
          </cell>
          <cell r="C10">
            <v>5063</v>
          </cell>
        </row>
        <row r="11">
          <cell r="A11" t="str">
            <v>FAPES</v>
          </cell>
          <cell r="B11">
            <v>1463352.60565</v>
          </cell>
          <cell r="C11">
            <v>1798</v>
          </cell>
        </row>
        <row r="12">
          <cell r="A12" t="str">
            <v>AERUS</v>
          </cell>
          <cell r="B12">
            <v>1376164.2500699998</v>
          </cell>
          <cell r="C12">
            <v>31568</v>
          </cell>
        </row>
        <row r="13">
          <cell r="A13" t="str">
            <v>TELOS</v>
          </cell>
          <cell r="B13">
            <v>1277540.2761400002</v>
          </cell>
          <cell r="C13">
            <v>7961</v>
          </cell>
        </row>
        <row r="14">
          <cell r="A14" t="str">
            <v>FUNBEP</v>
          </cell>
          <cell r="B14">
            <v>1173935.2657899999</v>
          </cell>
          <cell r="C14">
            <v>9908</v>
          </cell>
        </row>
        <row r="15">
          <cell r="A15" t="str">
            <v>FUNDACAO COPEL</v>
          </cell>
          <cell r="B15">
            <v>1138370.0712899999</v>
          </cell>
          <cell r="C15">
            <v>6705</v>
          </cell>
        </row>
        <row r="16">
          <cell r="A16" t="str">
            <v>BANESPREV</v>
          </cell>
          <cell r="B16">
            <v>1089971.0741700002</v>
          </cell>
          <cell r="C16">
            <v>21158</v>
          </cell>
        </row>
        <row r="17">
          <cell r="A17" t="str">
            <v>CCF</v>
          </cell>
          <cell r="B17">
            <v>1035970.41842</v>
          </cell>
          <cell r="C17">
            <v>45230</v>
          </cell>
        </row>
        <row r="18">
          <cell r="A18" t="str">
            <v>CAPEF</v>
          </cell>
          <cell r="B18">
            <v>1026146.49089</v>
          </cell>
          <cell r="C18">
            <v>3430</v>
          </cell>
        </row>
        <row r="19">
          <cell r="A19" t="str">
            <v>ELETROCEEE</v>
          </cell>
          <cell r="B19">
            <v>1016775.38229</v>
          </cell>
          <cell r="C19">
            <v>8413</v>
          </cell>
        </row>
        <row r="20">
          <cell r="A20" t="str">
            <v>IBM</v>
          </cell>
          <cell r="B20">
            <v>980551.82972</v>
          </cell>
          <cell r="C20">
            <v>4103</v>
          </cell>
        </row>
        <row r="21">
          <cell r="A21" t="str">
            <v>REFER</v>
          </cell>
          <cell r="B21">
            <v>961004.01563</v>
          </cell>
          <cell r="C21">
            <v>7823</v>
          </cell>
        </row>
        <row r="22">
          <cell r="A22" t="str">
            <v>ECONOMUS</v>
          </cell>
          <cell r="B22">
            <v>914267.46809</v>
          </cell>
          <cell r="C22">
            <v>13744</v>
          </cell>
        </row>
        <row r="23">
          <cell r="A23" t="str">
            <v>POSTALIS</v>
          </cell>
          <cell r="B23">
            <v>844260.4210900001</v>
          </cell>
          <cell r="C23">
            <v>78539</v>
          </cell>
        </row>
        <row r="24">
          <cell r="A24" t="str">
            <v>PSS</v>
          </cell>
          <cell r="B24">
            <v>841243.6045499999</v>
          </cell>
          <cell r="C24">
            <v>8731</v>
          </cell>
        </row>
        <row r="25">
          <cell r="A25" t="str">
            <v>USIMINAS</v>
          </cell>
          <cell r="B25">
            <v>798963.1235</v>
          </cell>
          <cell r="C25">
            <v>13224</v>
          </cell>
        </row>
        <row r="26">
          <cell r="A26" t="str">
            <v>ELETROS</v>
          </cell>
          <cell r="B26">
            <v>749750.8217000001</v>
          </cell>
          <cell r="C26">
            <v>1396</v>
          </cell>
        </row>
        <row r="27">
          <cell r="A27" t="str">
            <v>FEMCO</v>
          </cell>
          <cell r="B27">
            <v>676560.5290499999</v>
          </cell>
          <cell r="C27">
            <v>6241</v>
          </cell>
        </row>
        <row r="28">
          <cell r="A28" t="str">
            <v>SERPROS</v>
          </cell>
          <cell r="B28">
            <v>675748.12759</v>
          </cell>
          <cell r="C28">
            <v>7651</v>
          </cell>
        </row>
        <row r="29">
          <cell r="A29" t="str">
            <v>CBS</v>
          </cell>
          <cell r="B29">
            <v>624522.0754099999</v>
          </cell>
          <cell r="C29">
            <v>7391</v>
          </cell>
        </row>
        <row r="30">
          <cell r="A30" t="str">
            <v>FACHESF</v>
          </cell>
          <cell r="B30">
            <v>602245.88266</v>
          </cell>
          <cell r="C30">
            <v>4650</v>
          </cell>
        </row>
        <row r="31">
          <cell r="A31" t="str">
            <v>CERES</v>
          </cell>
          <cell r="B31">
            <v>581982.56299</v>
          </cell>
          <cell r="C31">
            <v>10086</v>
          </cell>
        </row>
        <row r="32">
          <cell r="A32" t="str">
            <v>ELOS</v>
          </cell>
          <cell r="B32">
            <v>555397.66739</v>
          </cell>
          <cell r="C32">
            <v>2087</v>
          </cell>
        </row>
        <row r="33">
          <cell r="A33" t="str">
            <v>BRASLIGHT</v>
          </cell>
          <cell r="B33">
            <v>542944.529</v>
          </cell>
          <cell r="C33">
            <v>5790</v>
          </cell>
        </row>
        <row r="34">
          <cell r="A34" t="str">
            <v>PRECE</v>
          </cell>
          <cell r="B34">
            <v>542658.9160399999</v>
          </cell>
          <cell r="C34">
            <v>8133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filiados"/>
      <sheetName val="Fondos"/>
      <sheetName val="Cartera"/>
      <sheetName val="Evolución"/>
      <sheetName val="Rentabilidad"/>
      <sheetName val="Plan3"/>
    </sheetNames>
    <sheetDataSet>
      <sheetData sheetId="5">
        <row r="1">
          <cell r="A1" t="str">
            <v>PREVI</v>
          </cell>
          <cell r="B1">
            <v>31976235.17809</v>
          </cell>
          <cell r="C1">
            <v>73467</v>
          </cell>
        </row>
        <row r="2">
          <cell r="A2" t="str">
            <v>SISTEL</v>
          </cell>
          <cell r="B2">
            <v>7541292.000560001</v>
          </cell>
          <cell r="C2">
            <v>47344</v>
          </cell>
        </row>
        <row r="3">
          <cell r="A3" t="str">
            <v>PETROS</v>
          </cell>
          <cell r="B3">
            <v>6707600.60439</v>
          </cell>
          <cell r="C3">
            <v>40183</v>
          </cell>
        </row>
        <row r="4">
          <cell r="A4" t="str">
            <v>FUNCEF</v>
          </cell>
          <cell r="B4">
            <v>6577083.4524300005</v>
          </cell>
          <cell r="C4">
            <v>54602</v>
          </cell>
        </row>
        <row r="5">
          <cell r="A5" t="str">
            <v>FUNDACAO CESP</v>
          </cell>
          <cell r="B5">
            <v>4369264.22317</v>
          </cell>
          <cell r="C5">
            <v>24716</v>
          </cell>
        </row>
        <row r="6">
          <cell r="A6" t="str">
            <v>CENTRUS</v>
          </cell>
          <cell r="B6">
            <v>3539884.64004</v>
          </cell>
          <cell r="C6">
            <v>86</v>
          </cell>
        </row>
        <row r="7">
          <cell r="A7" t="str">
            <v>ITAUBANCO</v>
          </cell>
          <cell r="B7">
            <v>2835187.4298400003</v>
          </cell>
          <cell r="C7">
            <v>35521</v>
          </cell>
        </row>
        <row r="8">
          <cell r="A8" t="str">
            <v>VALIA</v>
          </cell>
          <cell r="B8">
            <v>2471649</v>
          </cell>
          <cell r="C8">
            <v>12793</v>
          </cell>
        </row>
        <row r="9">
          <cell r="A9" t="str">
            <v>FORLUZ</v>
          </cell>
          <cell r="B9">
            <v>1983078.74859</v>
          </cell>
          <cell r="C9">
            <v>11699</v>
          </cell>
        </row>
        <row r="10">
          <cell r="A10" t="str">
            <v>REAL GRANDEZA</v>
          </cell>
          <cell r="B10">
            <v>1625450.07807</v>
          </cell>
          <cell r="C10">
            <v>5063</v>
          </cell>
        </row>
        <row r="11">
          <cell r="A11" t="str">
            <v>FAPES</v>
          </cell>
          <cell r="B11">
            <v>1463352.60565</v>
          </cell>
          <cell r="C11">
            <v>1798</v>
          </cell>
        </row>
        <row r="12">
          <cell r="A12" t="str">
            <v>AERUS</v>
          </cell>
          <cell r="B12">
            <v>1376164.2500699998</v>
          </cell>
          <cell r="C12">
            <v>31568</v>
          </cell>
        </row>
        <row r="13">
          <cell r="A13" t="str">
            <v>TELOS</v>
          </cell>
          <cell r="B13">
            <v>1277540.2761400002</v>
          </cell>
          <cell r="C13">
            <v>7961</v>
          </cell>
        </row>
        <row r="14">
          <cell r="A14" t="str">
            <v>FUNBEP</v>
          </cell>
          <cell r="B14">
            <v>1173935.2657899999</v>
          </cell>
          <cell r="C14">
            <v>9908</v>
          </cell>
        </row>
        <row r="15">
          <cell r="A15" t="str">
            <v>FUNDACAO COPEL</v>
          </cell>
          <cell r="B15">
            <v>1138370.0712899999</v>
          </cell>
          <cell r="C15">
            <v>6705</v>
          </cell>
        </row>
        <row r="16">
          <cell r="A16" t="str">
            <v>BANESPREV</v>
          </cell>
          <cell r="B16">
            <v>1089971.0741700002</v>
          </cell>
          <cell r="C16">
            <v>21158</v>
          </cell>
        </row>
        <row r="17">
          <cell r="A17" t="str">
            <v>CCF</v>
          </cell>
          <cell r="B17">
            <v>1035970.41842</v>
          </cell>
          <cell r="C17">
            <v>45230</v>
          </cell>
        </row>
        <row r="18">
          <cell r="A18" t="str">
            <v>CAPEF</v>
          </cell>
          <cell r="B18">
            <v>1026146.49089</v>
          </cell>
          <cell r="C18">
            <v>3430</v>
          </cell>
        </row>
        <row r="19">
          <cell r="A19" t="str">
            <v>ELETROCEEE</v>
          </cell>
          <cell r="B19">
            <v>1016775.38229</v>
          </cell>
          <cell r="C19">
            <v>8413</v>
          </cell>
        </row>
        <row r="20">
          <cell r="A20" t="str">
            <v>IBM</v>
          </cell>
          <cell r="B20">
            <v>980551.82972</v>
          </cell>
          <cell r="C20">
            <v>4103</v>
          </cell>
        </row>
        <row r="21">
          <cell r="A21" t="str">
            <v>REFER</v>
          </cell>
          <cell r="B21">
            <v>961004.01563</v>
          </cell>
          <cell r="C21">
            <v>7823</v>
          </cell>
        </row>
        <row r="22">
          <cell r="A22" t="str">
            <v>ECONOMUS</v>
          </cell>
          <cell r="B22">
            <v>914267.46809</v>
          </cell>
          <cell r="C22">
            <v>13744</v>
          </cell>
        </row>
        <row r="23">
          <cell r="A23" t="str">
            <v>POSTALIS</v>
          </cell>
          <cell r="B23">
            <v>844260.4210900001</v>
          </cell>
          <cell r="C23">
            <v>78539</v>
          </cell>
        </row>
        <row r="24">
          <cell r="A24" t="str">
            <v>PSS</v>
          </cell>
          <cell r="B24">
            <v>841243.6045499999</v>
          </cell>
          <cell r="C24">
            <v>8731</v>
          </cell>
        </row>
        <row r="25">
          <cell r="A25" t="str">
            <v>USIMINAS</v>
          </cell>
          <cell r="B25">
            <v>798963.1235</v>
          </cell>
          <cell r="C25">
            <v>13224</v>
          </cell>
        </row>
        <row r="26">
          <cell r="A26" t="str">
            <v>ELETROS</v>
          </cell>
          <cell r="B26">
            <v>749750.8217000001</v>
          </cell>
          <cell r="C26">
            <v>1396</v>
          </cell>
        </row>
        <row r="27">
          <cell r="A27" t="str">
            <v>FEMCO</v>
          </cell>
          <cell r="B27">
            <v>676560.5290499999</v>
          </cell>
          <cell r="C27">
            <v>6241</v>
          </cell>
        </row>
        <row r="28">
          <cell r="A28" t="str">
            <v>SERPROS</v>
          </cell>
          <cell r="B28">
            <v>675748.12759</v>
          </cell>
          <cell r="C28">
            <v>7651</v>
          </cell>
        </row>
        <row r="29">
          <cell r="A29" t="str">
            <v>CBS</v>
          </cell>
          <cell r="B29">
            <v>624522.0754099999</v>
          </cell>
          <cell r="C29">
            <v>7391</v>
          </cell>
        </row>
        <row r="30">
          <cell r="A30" t="str">
            <v>FACHESF</v>
          </cell>
          <cell r="B30">
            <v>602245.88266</v>
          </cell>
          <cell r="C30">
            <v>4650</v>
          </cell>
        </row>
        <row r="31">
          <cell r="A31" t="str">
            <v>CERES</v>
          </cell>
          <cell r="B31">
            <v>581982.56299</v>
          </cell>
          <cell r="C31">
            <v>10086</v>
          </cell>
        </row>
        <row r="32">
          <cell r="A32" t="str">
            <v>ELOS</v>
          </cell>
          <cell r="B32">
            <v>555397.66739</v>
          </cell>
          <cell r="C32">
            <v>2087</v>
          </cell>
        </row>
        <row r="33">
          <cell r="A33" t="str">
            <v>BRASLIGHT</v>
          </cell>
          <cell r="B33">
            <v>542944.529</v>
          </cell>
          <cell r="C33">
            <v>5790</v>
          </cell>
        </row>
        <row r="34">
          <cell r="A34" t="str">
            <v>PRECE</v>
          </cell>
          <cell r="B34">
            <v>542658.9160399999</v>
          </cell>
          <cell r="C34">
            <v>8133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ero-Com"/>
      <sheetName val="Dic-SIP"/>
      <sheetName val="Feb-Com"/>
      <sheetName val="Ene-SIP"/>
      <sheetName val="Feb-SIP"/>
      <sheetName val="Marzo-Com"/>
      <sheetName val="Marzo-SIP"/>
      <sheetName val="Abril-Com"/>
      <sheetName val="Abril-SIP"/>
      <sheetName val="Mayo-Com"/>
      <sheetName val="Mayo-SIP"/>
      <sheetName val="Junio-Com"/>
      <sheetName val="Jun-SIP"/>
      <sheetName val="Julio-Com"/>
      <sheetName val="Julio-SIP"/>
      <sheetName val="Ag-Com"/>
      <sheetName val="Ag-SIP"/>
      <sheetName val="Sept-Com"/>
      <sheetName val="Sept-SIP"/>
      <sheetName val="Oct-Com"/>
      <sheetName val="IBC-Oct-SIP"/>
      <sheetName val="Afiliados-Oct-SIP"/>
      <sheetName val="Afiliados-Nov-SIP"/>
      <sheetName val="Oct-SIP"/>
      <sheetName val="Nov-Com"/>
      <sheetName val="IBC-Nov-SIP"/>
      <sheetName val="Nov-SIP"/>
      <sheetName val="Afiliados-Dic-SIP"/>
      <sheetName val="Dic-02"/>
      <sheetName val="Dic-Com"/>
    </sheetNames>
    <sheetDataSet>
      <sheetData sheetId="1">
        <row r="88">
          <cell r="H88">
            <v>7001.03098315805</v>
          </cell>
        </row>
        <row r="91">
          <cell r="H91">
            <v>5138.087928703329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s>
    <sheetDataSet>
      <sheetData sheetId="30">
        <row r="24">
          <cell r="B24">
            <v>54107</v>
          </cell>
          <cell r="D24">
            <v>41025.61674321702</v>
          </cell>
        </row>
      </sheetData>
      <sheetData sheetId="36">
        <row r="17">
          <cell r="B17">
            <v>1203802</v>
          </cell>
          <cell r="D17">
            <v>774246</v>
          </cell>
        </row>
      </sheetData>
      <sheetData sheetId="38">
        <row r="34">
          <cell r="B34">
            <v>4853250</v>
          </cell>
          <cell r="D34">
            <v>2481035.4874999993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9"/>
      <sheetName val="Hoja20"/>
      <sheetName val="Hoja21"/>
      <sheetName val="Hoja22"/>
      <sheetName val="Hoja23"/>
      <sheetName val="Hoja24"/>
      <sheetName val="Hoja25"/>
      <sheetName val="Hoja26"/>
      <sheetName val="Hoja27"/>
      <sheetName val="Hoja28"/>
      <sheetName val="Hoja29"/>
      <sheetName val="Hoja30"/>
      <sheetName val="Hoja31"/>
      <sheetName val="Hoja32"/>
      <sheetName val="Hoja33"/>
      <sheetName val="Hoja34"/>
      <sheetName val="Hoja35"/>
      <sheetName val="Hoja36"/>
      <sheetName val="Hoja37"/>
      <sheetName val="Hoja38"/>
      <sheetName val="Hoja39"/>
      <sheetName val="Hoja40"/>
      <sheetName val="Hoja41"/>
      <sheetName val="Hoja42"/>
      <sheetName val="Hoja43"/>
      <sheetName val="Hoja44"/>
      <sheetName val="Hoja45"/>
      <sheetName val="Hoja46"/>
      <sheetName val="Hoja47"/>
      <sheetName val="Hoja48"/>
      <sheetName val="Hoja49"/>
      <sheetName val="Hoja50"/>
      <sheetName val="Hoja51"/>
      <sheetName val="Hoja1"/>
      <sheetName val="Hoja52"/>
      <sheetName val="Hoja53"/>
      <sheetName val="Hoja54"/>
      <sheetName val="Hoja55"/>
      <sheetName val="Hoja56"/>
      <sheetName val="Hoja57"/>
      <sheetName val="Hoja58"/>
      <sheetName val="Hoja59"/>
    </sheetNames>
    <sheetDataSet>
      <sheetData sheetId="7">
        <row r="36">
          <cell r="B36">
            <v>52635297.9320014</v>
          </cell>
          <cell r="D36">
            <v>60310653.043478265</v>
          </cell>
        </row>
      </sheetData>
      <sheetData sheetId="8">
        <row r="14">
          <cell r="B14">
            <v>10881000</v>
          </cell>
          <cell r="C14">
            <v>8522425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sheet1.xml><?xml version="1.0" encoding="utf-8"?>
<worksheet xmlns="http://schemas.openxmlformats.org/spreadsheetml/2006/main" xmlns:r="http://schemas.openxmlformats.org/officeDocument/2006/relationships">
  <dimension ref="B6:H16"/>
  <sheetViews>
    <sheetView workbookViewId="0" topLeftCell="A1">
      <selection activeCell="C7" sqref="C7:G7"/>
    </sheetView>
  </sheetViews>
  <sheetFormatPr defaultColWidth="11.421875" defaultRowHeight="12.75"/>
  <cols>
    <col min="1" max="1" width="6.28125" style="0" customWidth="1"/>
    <col min="2" max="2" width="0.42578125" style="0" customWidth="1"/>
    <col min="7" max="7" width="16.421875" style="0" customWidth="1"/>
    <col min="8" max="8" width="0.42578125" style="0" customWidth="1"/>
    <col min="9" max="9" width="6.28125" style="0" customWidth="1"/>
  </cols>
  <sheetData>
    <row r="6" spans="2:8" ht="2.25" customHeight="1">
      <c r="B6" s="474"/>
      <c r="C6" s="472"/>
      <c r="D6" s="473"/>
      <c r="E6" s="472"/>
      <c r="F6" s="472"/>
      <c r="G6" s="472"/>
      <c r="H6" s="474"/>
    </row>
    <row r="7" spans="2:8" ht="30">
      <c r="B7" s="475"/>
      <c r="C7" s="533" t="s">
        <v>637</v>
      </c>
      <c r="D7" s="533"/>
      <c r="E7" s="533"/>
      <c r="F7" s="533"/>
      <c r="G7" s="533"/>
      <c r="H7" s="478"/>
    </row>
    <row r="8" spans="2:8" ht="12.75">
      <c r="B8" s="475"/>
      <c r="C8" s="471"/>
      <c r="D8" s="471"/>
      <c r="E8" s="471"/>
      <c r="F8" s="471"/>
      <c r="G8" s="471"/>
      <c r="H8" s="478"/>
    </row>
    <row r="9" spans="2:8" ht="12.75" customHeight="1">
      <c r="B9" s="475"/>
      <c r="C9" s="532" t="s">
        <v>638</v>
      </c>
      <c r="D9" s="532"/>
      <c r="E9" s="532"/>
      <c r="F9" s="532"/>
      <c r="G9" s="532"/>
      <c r="H9" s="478"/>
    </row>
    <row r="10" spans="2:8" ht="12.75" customHeight="1">
      <c r="B10" s="475"/>
      <c r="C10" s="532"/>
      <c r="D10" s="532"/>
      <c r="E10" s="532"/>
      <c r="F10" s="532"/>
      <c r="G10" s="532"/>
      <c r="H10" s="478"/>
    </row>
    <row r="11" spans="2:8" ht="12.75" customHeight="1">
      <c r="B11" s="475"/>
      <c r="C11" s="532"/>
      <c r="D11" s="532"/>
      <c r="E11" s="532"/>
      <c r="F11" s="532"/>
      <c r="G11" s="532"/>
      <c r="H11" s="478"/>
    </row>
    <row r="12" spans="2:8" ht="12.75" customHeight="1">
      <c r="B12" s="475"/>
      <c r="C12" s="532"/>
      <c r="D12" s="532"/>
      <c r="E12" s="532"/>
      <c r="F12" s="532"/>
      <c r="G12" s="532"/>
      <c r="H12" s="478"/>
    </row>
    <row r="13" spans="2:8" ht="12.75" customHeight="1">
      <c r="B13" s="475"/>
      <c r="C13" s="532"/>
      <c r="D13" s="532"/>
      <c r="E13" s="532"/>
      <c r="F13" s="532"/>
      <c r="G13" s="532"/>
      <c r="H13" s="478"/>
    </row>
    <row r="14" spans="2:8" ht="12.75" customHeight="1">
      <c r="B14" s="475"/>
      <c r="C14" s="532"/>
      <c r="D14" s="532"/>
      <c r="E14" s="532"/>
      <c r="F14" s="532"/>
      <c r="G14" s="532"/>
      <c r="H14" s="478"/>
    </row>
    <row r="15" spans="2:8" ht="83.25" customHeight="1">
      <c r="B15" s="475"/>
      <c r="C15" s="532"/>
      <c r="D15" s="532"/>
      <c r="E15" s="532"/>
      <c r="F15" s="532"/>
      <c r="G15" s="532"/>
      <c r="H15" s="478"/>
    </row>
    <row r="16" spans="2:8" ht="2.25" customHeight="1">
      <c r="B16" s="476"/>
      <c r="C16" s="477"/>
      <c r="D16" s="477"/>
      <c r="E16" s="477"/>
      <c r="F16" s="477"/>
      <c r="G16" s="477"/>
      <c r="H16" s="479"/>
    </row>
  </sheetData>
  <mergeCells count="2">
    <mergeCell ref="C9:G15"/>
    <mergeCell ref="C7:G7"/>
  </mergeCells>
  <printOptions horizontalCentered="1"/>
  <pageMargins left="0.75" right="0.75" top="1.3385826771653544" bottom="1" header="0" footer="0"/>
  <pageSetup horizontalDpi="300" verticalDpi="300" orientation="portrait" scale="90" r:id="rId1"/>
  <headerFooter alignWithMargins="0">
    <oddFooter>&amp;C15</oddFooter>
  </headerFooter>
</worksheet>
</file>

<file path=xl/worksheets/sheet10.xml><?xml version="1.0" encoding="utf-8"?>
<worksheet xmlns="http://schemas.openxmlformats.org/spreadsheetml/2006/main" xmlns:r="http://schemas.openxmlformats.org/officeDocument/2006/relationships">
  <dimension ref="A1:L54"/>
  <sheetViews>
    <sheetView workbookViewId="0" topLeftCell="A1">
      <selection activeCell="A5" sqref="A5:D5"/>
    </sheetView>
  </sheetViews>
  <sheetFormatPr defaultColWidth="11.421875" defaultRowHeight="12.75"/>
  <cols>
    <col min="1" max="1" width="44.00390625" style="0" customWidth="1"/>
    <col min="2" max="4" width="19.710937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676</v>
      </c>
      <c r="B5" s="512"/>
      <c r="C5" s="512"/>
      <c r="D5" s="513"/>
      <c r="E5" s="65"/>
      <c r="F5" s="65"/>
      <c r="G5" s="65"/>
      <c r="H5" s="65"/>
      <c r="I5" s="65"/>
    </row>
    <row r="6" spans="1:9" ht="18.75" thickBot="1">
      <c r="A6" s="516" t="s">
        <v>906</v>
      </c>
      <c r="B6" s="539"/>
      <c r="C6" s="539"/>
      <c r="D6" s="540"/>
      <c r="E6" s="65"/>
      <c r="F6" s="65"/>
      <c r="G6" s="65"/>
      <c r="H6" s="65"/>
      <c r="I6" s="65"/>
    </row>
    <row r="7" spans="1:9" ht="15.75">
      <c r="A7" s="525" t="s">
        <v>982</v>
      </c>
      <c r="B7" s="525"/>
      <c r="C7" s="525"/>
      <c r="D7" s="525"/>
      <c r="E7" s="64"/>
      <c r="F7" s="64"/>
      <c r="G7" s="64"/>
      <c r="H7" s="64"/>
      <c r="I7" s="64"/>
    </row>
    <row r="8" spans="1:9" ht="15.75">
      <c r="A8" s="526" t="s">
        <v>983</v>
      </c>
      <c r="B8" s="526"/>
      <c r="C8" s="526"/>
      <c r="D8" s="526"/>
      <c r="E8" s="61"/>
      <c r="F8" s="61"/>
      <c r="G8" s="61"/>
      <c r="H8" s="61"/>
      <c r="I8" s="61"/>
    </row>
    <row r="9" spans="1:9" ht="15.75">
      <c r="A9" s="6"/>
      <c r="B9" s="5"/>
      <c r="C9" s="5"/>
      <c r="D9" s="5"/>
      <c r="E9" s="5"/>
      <c r="F9" s="5"/>
      <c r="G9" s="5"/>
      <c r="H9" s="5"/>
      <c r="I9" s="5"/>
    </row>
    <row r="10" spans="1:9" ht="15">
      <c r="A10" s="2"/>
      <c r="B10" s="5"/>
      <c r="C10" s="5"/>
      <c r="D10" s="5"/>
      <c r="E10" s="5"/>
      <c r="F10" s="5"/>
      <c r="G10" s="5"/>
      <c r="H10" s="5"/>
      <c r="I10" s="5"/>
    </row>
    <row r="11" spans="1:9" ht="15.75" customHeight="1">
      <c r="A11" s="54"/>
      <c r="B11" s="10" t="s">
        <v>979</v>
      </c>
      <c r="C11" s="8" t="s">
        <v>921</v>
      </c>
      <c r="D11" s="8" t="s">
        <v>883</v>
      </c>
      <c r="E11" s="63"/>
      <c r="F11" s="60"/>
      <c r="G11" s="60"/>
      <c r="H11" s="60"/>
      <c r="I11" s="60"/>
    </row>
    <row r="12" spans="1:9" ht="15">
      <c r="A12" s="5"/>
      <c r="B12" s="11"/>
      <c r="C12" s="12"/>
      <c r="D12" s="11"/>
      <c r="E12" s="12"/>
      <c r="F12" s="12"/>
      <c r="G12" s="11"/>
      <c r="H12" s="11"/>
      <c r="I12" s="11"/>
    </row>
    <row r="13" spans="1:9" ht="15">
      <c r="A13" s="2" t="s">
        <v>886</v>
      </c>
      <c r="B13" s="11">
        <v>5076545</v>
      </c>
      <c r="C13" s="11">
        <v>4304443</v>
      </c>
      <c r="D13" s="12">
        <f>+(B13-C13)/C13</f>
        <v>0.17937326618101343</v>
      </c>
      <c r="E13" s="12"/>
      <c r="F13" s="12"/>
      <c r="G13" s="11"/>
      <c r="H13" s="11"/>
      <c r="I13" s="11"/>
    </row>
    <row r="14" spans="1:9" ht="15">
      <c r="A14" s="2" t="s">
        <v>864</v>
      </c>
      <c r="B14" s="11">
        <v>8387285</v>
      </c>
      <c r="C14" s="11">
        <v>11603290</v>
      </c>
      <c r="D14" s="12">
        <f>+(B14-C14)/C14</f>
        <v>-0.27716320112657705</v>
      </c>
      <c r="E14" s="12"/>
      <c r="F14" s="12"/>
      <c r="G14" s="11"/>
      <c r="H14" s="11"/>
      <c r="I14" s="11"/>
    </row>
    <row r="15" spans="1:9" ht="15">
      <c r="A15" s="5"/>
      <c r="B15" s="11"/>
      <c r="C15" s="12"/>
      <c r="D15" s="11"/>
      <c r="E15" s="12"/>
      <c r="F15" s="12"/>
      <c r="G15" s="11"/>
      <c r="H15" s="11"/>
      <c r="I15" s="11"/>
    </row>
    <row r="16" spans="1:9" ht="15">
      <c r="A16" s="69" t="s">
        <v>922</v>
      </c>
      <c r="B16" s="11"/>
      <c r="C16" s="12"/>
      <c r="D16" s="11"/>
      <c r="E16" s="12"/>
      <c r="F16" s="12"/>
      <c r="G16" s="11"/>
      <c r="H16" s="11"/>
      <c r="I16" s="11"/>
    </row>
    <row r="17" spans="1:12" ht="12.75">
      <c r="A17" s="66" t="s">
        <v>997</v>
      </c>
      <c r="B17" s="66"/>
      <c r="C17" s="66"/>
      <c r="D17" s="66"/>
      <c r="E17" s="133"/>
      <c r="F17" s="66"/>
      <c r="I17" s="36" t="e">
        <f>SUM(#REF!)</f>
        <v>#REF!</v>
      </c>
      <c r="J17" s="36" t="e">
        <f>SUM(#REF!)</f>
        <v>#REF!</v>
      </c>
      <c r="K17" s="36">
        <f>66264362*1.963</f>
        <v>130076942.606</v>
      </c>
      <c r="L17" s="36" t="e">
        <f>SUM(#REF!)</f>
        <v>#REF!</v>
      </c>
    </row>
    <row r="18" spans="1:6" ht="12.75">
      <c r="A18" s="66" t="s">
        <v>996</v>
      </c>
      <c r="B18" s="66"/>
      <c r="C18" s="66"/>
      <c r="D18" s="66"/>
      <c r="E18" s="133"/>
      <c r="F18" s="66"/>
    </row>
    <row r="19" spans="1:9" ht="15">
      <c r="A19" s="69" t="s">
        <v>998</v>
      </c>
      <c r="B19" s="11"/>
      <c r="C19" s="12"/>
      <c r="D19" s="11"/>
      <c r="E19" s="12"/>
      <c r="F19" s="12"/>
      <c r="G19" s="11"/>
      <c r="H19" s="11"/>
      <c r="I19" s="11"/>
    </row>
    <row r="20" spans="1:9" ht="15">
      <c r="A20" s="70" t="s">
        <v>999</v>
      </c>
      <c r="B20" s="11"/>
      <c r="C20" s="12"/>
      <c r="D20" s="11"/>
      <c r="E20" s="12"/>
      <c r="F20" s="12"/>
      <c r="G20" s="11"/>
      <c r="H20" s="11"/>
      <c r="I20" s="11"/>
    </row>
    <row r="21" spans="1:4" ht="15" customHeight="1">
      <c r="A21" s="520"/>
      <c r="B21" s="520"/>
      <c r="C21" s="520"/>
      <c r="D21" s="520"/>
    </row>
    <row r="24" spans="1:2" ht="12.75">
      <c r="A24">
        <v>1995</v>
      </c>
      <c r="B24" s="36">
        <v>2298.938</v>
      </c>
    </row>
    <row r="25" spans="1:2" ht="12.75">
      <c r="A25">
        <v>1996</v>
      </c>
      <c r="B25" s="36">
        <v>2435.74</v>
      </c>
    </row>
    <row r="26" spans="1:2" ht="12.75">
      <c r="A26">
        <v>1997</v>
      </c>
      <c r="B26" s="36">
        <v>2581.375</v>
      </c>
    </row>
    <row r="27" spans="1:2" ht="12.75">
      <c r="A27">
        <v>1998</v>
      </c>
      <c r="B27" s="36">
        <v>2856.39</v>
      </c>
    </row>
    <row r="28" spans="1:2" ht="12.75">
      <c r="A28">
        <v>1999</v>
      </c>
      <c r="B28" s="36">
        <v>3430.442</v>
      </c>
    </row>
    <row r="29" spans="1:2" ht="12.75">
      <c r="A29" s="80">
        <v>2000</v>
      </c>
      <c r="B29" s="36">
        <v>3707.119</v>
      </c>
    </row>
    <row r="30" spans="1:2" ht="12.75">
      <c r="A30" s="80">
        <v>2001</v>
      </c>
      <c r="B30" s="36">
        <v>4304.443</v>
      </c>
    </row>
    <row r="31" spans="1:2" ht="12.75">
      <c r="A31" s="80">
        <v>2002</v>
      </c>
      <c r="B31" s="36">
        <f>+B13/1000</f>
        <v>5076.545</v>
      </c>
    </row>
    <row r="47" spans="1:2" ht="12.75">
      <c r="A47">
        <v>1995</v>
      </c>
      <c r="B47" s="36">
        <v>3703</v>
      </c>
    </row>
    <row r="48" spans="1:2" ht="12.75">
      <c r="A48">
        <v>1996</v>
      </c>
      <c r="B48" s="36">
        <v>4317</v>
      </c>
    </row>
    <row r="49" spans="1:2" ht="12.75">
      <c r="A49">
        <v>1997</v>
      </c>
      <c r="B49" s="36">
        <v>5717</v>
      </c>
    </row>
    <row r="50" spans="1:2" ht="12.75">
      <c r="A50">
        <v>1998</v>
      </c>
      <c r="B50" s="36">
        <v>7165</v>
      </c>
    </row>
    <row r="51" spans="1:2" ht="12.75">
      <c r="A51">
        <v>1999</v>
      </c>
      <c r="B51" s="36">
        <v>7393</v>
      </c>
    </row>
    <row r="52" spans="1:2" ht="12.75">
      <c r="A52" s="80">
        <v>2000</v>
      </c>
      <c r="B52" s="36">
        <v>8572</v>
      </c>
    </row>
    <row r="53" spans="1:2" ht="12.75">
      <c r="A53">
        <v>2001</v>
      </c>
      <c r="B53" s="36">
        <v>11603.29</v>
      </c>
    </row>
    <row r="54" spans="1:2" ht="12.75">
      <c r="A54" s="80">
        <v>2002</v>
      </c>
      <c r="B54" s="36">
        <f>+B14/1000</f>
        <v>8387.285</v>
      </c>
    </row>
  </sheetData>
  <mergeCells count="5">
    <mergeCell ref="A5:D5"/>
    <mergeCell ref="A7:D7"/>
    <mergeCell ref="A8:D8"/>
    <mergeCell ref="A21:D21"/>
    <mergeCell ref="A6:D6"/>
  </mergeCells>
  <printOptions horizontalCentered="1"/>
  <pageMargins left="0.75" right="0.75" top="1" bottom="1" header="0" footer="0"/>
  <pageSetup horizontalDpi="300" verticalDpi="300" orientation="portrait" scale="90" r:id="rId2"/>
  <headerFooter alignWithMargins="0">
    <oddFooter>&amp;C24</oddFooter>
  </headerFooter>
  <drawing r:id="rId1"/>
</worksheet>
</file>

<file path=xl/worksheets/sheet11.xml><?xml version="1.0" encoding="utf-8"?>
<worksheet xmlns="http://schemas.openxmlformats.org/spreadsheetml/2006/main" xmlns:r="http://schemas.openxmlformats.org/officeDocument/2006/relationships">
  <dimension ref="A1:I58"/>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685</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43" t="s">
        <v>663</v>
      </c>
      <c r="H11" s="544"/>
      <c r="I11" s="545"/>
    </row>
    <row r="12" spans="1:9" ht="15">
      <c r="A12" s="9" t="s">
        <v>664</v>
      </c>
      <c r="B12" s="10" t="s">
        <v>979</v>
      </c>
      <c r="C12" s="8" t="s">
        <v>665</v>
      </c>
      <c r="D12" s="8" t="s">
        <v>921</v>
      </c>
      <c r="E12" s="8" t="s">
        <v>665</v>
      </c>
      <c r="F12" s="8" t="s">
        <v>883</v>
      </c>
      <c r="G12" s="170" t="s">
        <v>979</v>
      </c>
      <c r="H12" s="173" t="s">
        <v>921</v>
      </c>
      <c r="I12" s="173" t="s">
        <v>883</v>
      </c>
    </row>
    <row r="13" spans="1:9" ht="15">
      <c r="A13" s="5"/>
      <c r="B13" s="11"/>
      <c r="C13" s="12"/>
      <c r="D13" s="11"/>
      <c r="E13" s="12"/>
      <c r="F13" s="12"/>
      <c r="G13" s="11"/>
      <c r="H13" s="11"/>
      <c r="I13" s="11"/>
    </row>
    <row r="14" spans="1:9" ht="15">
      <c r="A14" s="5" t="s">
        <v>687</v>
      </c>
      <c r="B14" s="119">
        <v>770431</v>
      </c>
      <c r="C14" s="12">
        <f aca="true" t="shared" si="0" ref="C14:C19">+B14/$B$21</f>
        <v>0.16336715332739038</v>
      </c>
      <c r="D14" s="11">
        <v>725467</v>
      </c>
      <c r="E14" s="12">
        <f aca="true" t="shared" si="1" ref="E14:E19">+D14/$D$21</f>
        <v>0.16729787686915742</v>
      </c>
      <c r="F14" s="12">
        <f aca="true" t="shared" si="2" ref="F14:F19">+(B14-D14)/D14</f>
        <v>0.061979387070673096</v>
      </c>
      <c r="G14" s="119">
        <v>359021</v>
      </c>
      <c r="H14" s="11">
        <v>361992</v>
      </c>
      <c r="I14" s="12">
        <f aca="true" t="shared" si="3" ref="I14:I19">+(G14-H14)/H14</f>
        <v>-0.008207363698645274</v>
      </c>
    </row>
    <row r="15" spans="1:9" ht="15">
      <c r="A15" s="5" t="s">
        <v>849</v>
      </c>
      <c r="B15" s="119">
        <v>997327</v>
      </c>
      <c r="C15" s="12">
        <f t="shared" si="0"/>
        <v>0.21147964311735415</v>
      </c>
      <c r="D15" s="11">
        <v>916177</v>
      </c>
      <c r="E15" s="12">
        <f t="shared" si="1"/>
        <v>0.2112769663352765</v>
      </c>
      <c r="F15" s="12">
        <f t="shared" si="2"/>
        <v>0.08857458766155449</v>
      </c>
      <c r="G15" s="119">
        <v>418486</v>
      </c>
      <c r="H15" s="11">
        <v>376762</v>
      </c>
      <c r="I15" s="12">
        <f t="shared" si="3"/>
        <v>0.1107436524914933</v>
      </c>
    </row>
    <row r="16" spans="1:9" ht="15">
      <c r="A16" s="5" t="s">
        <v>689</v>
      </c>
      <c r="B16" s="119">
        <v>1205442</v>
      </c>
      <c r="C16" s="12">
        <f t="shared" si="0"/>
        <v>0.2556096886564483</v>
      </c>
      <c r="D16" s="11">
        <v>1113295</v>
      </c>
      <c r="E16" s="12">
        <f t="shared" si="1"/>
        <v>0.2567337864148867</v>
      </c>
      <c r="F16" s="12">
        <f t="shared" si="2"/>
        <v>0.08276961631912476</v>
      </c>
      <c r="G16" s="119">
        <v>600219</v>
      </c>
      <c r="H16" s="11">
        <v>560146</v>
      </c>
      <c r="I16" s="12">
        <f t="shared" si="3"/>
        <v>0.07154027699921092</v>
      </c>
    </row>
    <row r="17" spans="1:9" ht="15">
      <c r="A17" s="5" t="s">
        <v>690</v>
      </c>
      <c r="B17" s="119">
        <v>900611</v>
      </c>
      <c r="C17" s="12">
        <f t="shared" si="0"/>
        <v>0.19097135931100173</v>
      </c>
      <c r="D17" s="11">
        <v>781507</v>
      </c>
      <c r="E17" s="12">
        <f t="shared" si="1"/>
        <v>0.18022110152272205</v>
      </c>
      <c r="F17" s="12">
        <f t="shared" si="2"/>
        <v>0.15240298551388534</v>
      </c>
      <c r="G17" s="119">
        <v>509342</v>
      </c>
      <c r="H17" s="11">
        <v>453553</v>
      </c>
      <c r="I17" s="12">
        <f t="shared" si="3"/>
        <v>0.12300436773651591</v>
      </c>
    </row>
    <row r="18" spans="1:9" ht="15">
      <c r="A18" s="5" t="s">
        <v>703</v>
      </c>
      <c r="B18" s="119">
        <v>805294</v>
      </c>
      <c r="C18" s="12">
        <f t="shared" si="0"/>
        <v>0.17075972847877033</v>
      </c>
      <c r="D18" s="11">
        <v>764761</v>
      </c>
      <c r="E18" s="12">
        <f t="shared" si="1"/>
        <v>0.17635935419851448</v>
      </c>
      <c r="F18" s="12">
        <f t="shared" si="2"/>
        <v>0.053000872167906055</v>
      </c>
      <c r="G18" s="119">
        <v>336494</v>
      </c>
      <c r="H18" s="11">
        <v>339959</v>
      </c>
      <c r="I18" s="12">
        <f t="shared" si="3"/>
        <v>-0.010192405554787488</v>
      </c>
    </row>
    <row r="19" spans="1:9" ht="15">
      <c r="A19" s="5" t="s">
        <v>873</v>
      </c>
      <c r="B19" s="119">
        <v>36843</v>
      </c>
      <c r="C19" s="12">
        <f t="shared" si="0"/>
        <v>0.007812427109035129</v>
      </c>
      <c r="D19" s="11">
        <v>35172</v>
      </c>
      <c r="E19" s="12">
        <f t="shared" si="1"/>
        <v>0.00811091465944282</v>
      </c>
      <c r="F19" s="12">
        <f t="shared" si="2"/>
        <v>0.0475093824633231</v>
      </c>
      <c r="G19" s="119">
        <v>20042</v>
      </c>
      <c r="H19" s="11">
        <v>19195</v>
      </c>
      <c r="I19" s="12">
        <f t="shared" si="3"/>
        <v>0.044126074498567334</v>
      </c>
    </row>
    <row r="20" spans="1:9" ht="15">
      <c r="A20" s="5"/>
      <c r="B20" s="11"/>
      <c r="C20" s="12"/>
      <c r="D20" s="11"/>
      <c r="E20" s="12"/>
      <c r="F20" s="12"/>
      <c r="G20" s="11"/>
      <c r="H20" s="11"/>
      <c r="I20" s="11"/>
    </row>
    <row r="21" spans="1:9" ht="14.25">
      <c r="A21" s="13" t="s">
        <v>674</v>
      </c>
      <c r="B21" s="14">
        <f>SUM(B14:B20)</f>
        <v>4715948</v>
      </c>
      <c r="C21" s="15">
        <f>SUM(C14:C20)</f>
        <v>1</v>
      </c>
      <c r="D21" s="14">
        <f>SUM(D14:D20)</f>
        <v>4336379</v>
      </c>
      <c r="E21" s="15">
        <f>SUM(E14:E19)</f>
        <v>1</v>
      </c>
      <c r="F21" s="16">
        <f>(B21-D21)/D21</f>
        <v>0.0875313250986595</v>
      </c>
      <c r="G21" s="14">
        <f>SUM(G14:G19)</f>
        <v>2243604</v>
      </c>
      <c r="H21" s="14">
        <f>SUM(H14:H20)</f>
        <v>2111607</v>
      </c>
      <c r="I21" s="16">
        <f>(G21-H21)/H21</f>
        <v>0.06251021141718133</v>
      </c>
    </row>
    <row r="22" spans="1:9" ht="15">
      <c r="A22" s="11"/>
      <c r="B22" s="11"/>
      <c r="C22" s="11"/>
      <c r="D22" s="11"/>
      <c r="E22" s="11"/>
      <c r="F22" s="11"/>
      <c r="G22" s="11"/>
      <c r="H22" s="11"/>
      <c r="I22" s="11"/>
    </row>
    <row r="23" spans="1:9" ht="12.75">
      <c r="A23" s="71" t="s">
        <v>866</v>
      </c>
      <c r="B23" s="67"/>
      <c r="C23" s="67"/>
      <c r="D23" s="67"/>
      <c r="E23" s="67"/>
      <c r="F23" s="67"/>
      <c r="G23" s="67"/>
      <c r="H23" s="67"/>
      <c r="I23" s="67"/>
    </row>
    <row r="24" spans="1:9" ht="25.5" customHeight="1">
      <c r="A24" s="546" t="s">
        <v>966</v>
      </c>
      <c r="B24" s="546"/>
      <c r="C24" s="546"/>
      <c r="D24" s="546"/>
      <c r="E24" s="546"/>
      <c r="F24" s="546"/>
      <c r="G24" s="546"/>
      <c r="H24" s="546"/>
      <c r="I24" s="546"/>
    </row>
    <row r="25" spans="1:6" ht="12.75">
      <c r="A25" s="174"/>
      <c r="B25" s="174"/>
      <c r="C25" s="174"/>
      <c r="D25" s="174"/>
      <c r="E25" s="174"/>
      <c r="F25" s="174"/>
    </row>
    <row r="26" spans="1:9" ht="15">
      <c r="A26" s="7"/>
      <c r="B26" s="527" t="s">
        <v>662</v>
      </c>
      <c r="C26" s="527"/>
      <c r="D26" s="527"/>
      <c r="E26" s="527"/>
      <c r="F26" s="527"/>
      <c r="G26" s="547"/>
      <c r="H26" s="548"/>
      <c r="I26" s="548"/>
    </row>
    <row r="27" spans="1:9" ht="15">
      <c r="A27" s="9"/>
      <c r="B27" s="10" t="s">
        <v>979</v>
      </c>
      <c r="C27" s="8" t="s">
        <v>665</v>
      </c>
      <c r="D27" s="8" t="s">
        <v>921</v>
      </c>
      <c r="E27" s="8" t="s">
        <v>665</v>
      </c>
      <c r="F27" s="8" t="s">
        <v>883</v>
      </c>
      <c r="G27" s="177"/>
      <c r="H27" s="60"/>
      <c r="I27" s="60"/>
    </row>
    <row r="28" spans="1:6" ht="26.25">
      <c r="A28" s="178" t="s">
        <v>955</v>
      </c>
      <c r="B28" s="179">
        <v>170537</v>
      </c>
      <c r="C28" s="180">
        <v>1</v>
      </c>
      <c r="D28" s="179">
        <v>132423</v>
      </c>
      <c r="E28" s="180">
        <v>1</v>
      </c>
      <c r="F28" s="181">
        <f>(B28-D28)/D28</f>
        <v>0.2878200916759173</v>
      </c>
    </row>
    <row r="29" spans="1:6" ht="26.25">
      <c r="A29" s="178" t="s">
        <v>956</v>
      </c>
      <c r="B29" s="179">
        <v>2678899</v>
      </c>
      <c r="C29" s="180">
        <v>1</v>
      </c>
      <c r="D29" s="179">
        <v>2338830</v>
      </c>
      <c r="E29" s="180">
        <v>1</v>
      </c>
      <c r="F29" s="181">
        <f>(B29-D29)/D29</f>
        <v>0.1454013331452051</v>
      </c>
    </row>
    <row r="31" spans="2:3" ht="12.75">
      <c r="B31" t="s">
        <v>737</v>
      </c>
      <c r="C31" t="s">
        <v>738</v>
      </c>
    </row>
    <row r="32" spans="1:3" ht="12.75">
      <c r="A32">
        <v>1994</v>
      </c>
      <c r="B32" s="36">
        <v>992</v>
      </c>
      <c r="C32" s="36"/>
    </row>
    <row r="33" spans="1:3" ht="12.75">
      <c r="A33">
        <v>1995</v>
      </c>
      <c r="B33" s="36">
        <v>1710.865</v>
      </c>
      <c r="C33" s="36"/>
    </row>
    <row r="34" spans="1:3" ht="12.75">
      <c r="A34">
        <v>1996</v>
      </c>
      <c r="B34" s="36">
        <v>2032</v>
      </c>
      <c r="C34" s="36"/>
    </row>
    <row r="35" spans="1:3" ht="12.75">
      <c r="A35">
        <v>1997</v>
      </c>
      <c r="B35" s="36">
        <v>2494</v>
      </c>
      <c r="C35" s="36">
        <v>1296</v>
      </c>
    </row>
    <row r="36" spans="1:3" ht="12.75">
      <c r="A36">
        <v>1998</v>
      </c>
      <c r="B36" s="36">
        <v>2909</v>
      </c>
      <c r="C36" s="45">
        <v>1517</v>
      </c>
    </row>
    <row r="37" spans="1:3" ht="12.75">
      <c r="A37">
        <v>1999</v>
      </c>
      <c r="B37" s="36">
        <v>3443</v>
      </c>
      <c r="C37" s="45">
        <v>1776.095</v>
      </c>
    </row>
    <row r="38" spans="1:3" ht="12.75">
      <c r="A38" s="80">
        <v>2000</v>
      </c>
      <c r="B38" s="36">
        <v>3954.007</v>
      </c>
      <c r="C38" s="45">
        <v>1916.199</v>
      </c>
    </row>
    <row r="39" spans="1:3" ht="12.75">
      <c r="A39" s="80">
        <v>2001</v>
      </c>
      <c r="B39" s="36">
        <v>4336.379</v>
      </c>
      <c r="C39" s="45">
        <v>2111.607</v>
      </c>
    </row>
    <row r="40" spans="1:3" ht="12.75">
      <c r="A40" s="80">
        <v>2002</v>
      </c>
      <c r="B40" s="36">
        <f>+B21/1000</f>
        <v>4715.948</v>
      </c>
      <c r="C40" s="45">
        <f>+G21/1000</f>
        <v>2243.604</v>
      </c>
    </row>
    <row r="58" spans="1:9" ht="26.25" customHeight="1">
      <c r="A58" s="541"/>
      <c r="B58" s="542"/>
      <c r="C58" s="542"/>
      <c r="D58" s="542"/>
      <c r="E58" s="542"/>
      <c r="F58" s="542"/>
      <c r="G58" s="542"/>
      <c r="H58" s="542"/>
      <c r="I58" s="542"/>
    </row>
  </sheetData>
  <mergeCells count="10">
    <mergeCell ref="A5:I5"/>
    <mergeCell ref="A7:I7"/>
    <mergeCell ref="A8:I8"/>
    <mergeCell ref="A6:I6"/>
    <mergeCell ref="A58:I58"/>
    <mergeCell ref="B11:F11"/>
    <mergeCell ref="G11:I11"/>
    <mergeCell ref="A24:I24"/>
    <mergeCell ref="G26:I26"/>
    <mergeCell ref="B26:F26"/>
  </mergeCells>
  <printOptions horizontalCentered="1"/>
  <pageMargins left="0.75" right="0.75" top="1" bottom="1" header="0" footer="0"/>
  <pageSetup fitToHeight="0" horizontalDpi="300" verticalDpi="300" orientation="portrait" scale="90" r:id="rId2"/>
  <headerFooter alignWithMargins="0">
    <oddFooter>&amp;C25</oddFooter>
  </headerFooter>
  <drawing r:id="rId1"/>
</worksheet>
</file>

<file path=xl/worksheets/sheet12.xml><?xml version="1.0" encoding="utf-8"?>
<worksheet xmlns="http://schemas.openxmlformats.org/spreadsheetml/2006/main" xmlns:r="http://schemas.openxmlformats.org/officeDocument/2006/relationships">
  <dimension ref="A1:L45"/>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 min="9" max="9" width="13.710937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685</v>
      </c>
      <c r="B5" s="523"/>
      <c r="C5" s="523"/>
      <c r="D5" s="523"/>
      <c r="E5" s="523"/>
      <c r="F5" s="524"/>
    </row>
    <row r="6" spans="1:6" ht="18.75" thickBot="1">
      <c r="A6" s="516" t="s">
        <v>905</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6" ht="15">
      <c r="A9" s="22"/>
      <c r="B9" s="2"/>
      <c r="C9" s="2"/>
      <c r="D9" s="2"/>
      <c r="E9" s="5"/>
      <c r="F9" s="5"/>
    </row>
    <row r="10" spans="1:6" ht="15">
      <c r="A10" s="22"/>
      <c r="B10" s="2"/>
      <c r="C10" s="2"/>
      <c r="D10" s="2"/>
      <c r="E10" s="5"/>
      <c r="F10" s="5"/>
    </row>
    <row r="11" spans="1:10" ht="14.25">
      <c r="A11" s="7" t="s">
        <v>661</v>
      </c>
      <c r="B11" s="7" t="s">
        <v>735</v>
      </c>
      <c r="C11" s="7" t="s">
        <v>712</v>
      </c>
      <c r="D11" s="7" t="s">
        <v>735</v>
      </c>
      <c r="E11" s="7" t="s">
        <v>712</v>
      </c>
      <c r="F11" s="7" t="s">
        <v>713</v>
      </c>
      <c r="I11" t="s">
        <v>629</v>
      </c>
      <c r="J11" t="s">
        <v>630</v>
      </c>
    </row>
    <row r="12" spans="1:10" ht="15">
      <c r="A12" s="23" t="s">
        <v>714</v>
      </c>
      <c r="B12" s="23" t="s">
        <v>736</v>
      </c>
      <c r="C12" s="24" t="s">
        <v>715</v>
      </c>
      <c r="D12" s="23" t="s">
        <v>736</v>
      </c>
      <c r="E12" s="24" t="s">
        <v>715</v>
      </c>
      <c r="F12" s="159" t="s">
        <v>884</v>
      </c>
      <c r="I12" t="s">
        <v>979</v>
      </c>
      <c r="J12">
        <v>2864.79</v>
      </c>
    </row>
    <row r="13" spans="1:6" ht="15">
      <c r="A13" s="9"/>
      <c r="B13" s="25" t="s">
        <v>979</v>
      </c>
      <c r="C13" s="9" t="s">
        <v>716</v>
      </c>
      <c r="D13" s="26" t="s">
        <v>921</v>
      </c>
      <c r="E13" s="9" t="s">
        <v>716</v>
      </c>
      <c r="F13" s="26"/>
    </row>
    <row r="14" spans="1:6" ht="15">
      <c r="A14" s="5" t="s">
        <v>686</v>
      </c>
      <c r="B14" s="19"/>
      <c r="C14" s="20"/>
      <c r="D14" s="19"/>
      <c r="E14" s="20"/>
      <c r="F14" s="20"/>
    </row>
    <row r="15" spans="1:12" ht="15">
      <c r="A15" s="5" t="s">
        <v>687</v>
      </c>
      <c r="B15" s="11">
        <f aca="true" t="shared" si="0" ref="B15:B20">+J15</f>
        <v>847522.8550783828</v>
      </c>
      <c r="C15" s="12">
        <f aca="true" t="shared" si="1" ref="C15:C20">+B15/$B$22</f>
        <v>0.15460204336593766</v>
      </c>
      <c r="D15" s="11">
        <v>768368</v>
      </c>
      <c r="E15" s="12">
        <f aca="true" t="shared" si="2" ref="E15:E20">+D15/$D$22</f>
        <v>0.1550576445351205</v>
      </c>
      <c r="F15" s="12">
        <f aca="true" t="shared" si="3" ref="F15:F20">+(B15-D15)/D15</f>
        <v>0.10301685530680972</v>
      </c>
      <c r="I15" s="36">
        <v>2427975000</v>
      </c>
      <c r="J15" s="36">
        <f aca="true" t="shared" si="4" ref="J15:J20">+I15/$J$12</f>
        <v>847522.8550783828</v>
      </c>
      <c r="K15" s="36"/>
      <c r="L15" s="36"/>
    </row>
    <row r="16" spans="1:12" ht="15">
      <c r="A16" s="5" t="s">
        <v>849</v>
      </c>
      <c r="B16" s="11">
        <f t="shared" si="0"/>
        <v>1021902.8270833115</v>
      </c>
      <c r="C16" s="12">
        <f t="shared" si="1"/>
        <v>0.18641180499362103</v>
      </c>
      <c r="D16" s="11">
        <v>940271</v>
      </c>
      <c r="E16" s="12">
        <f t="shared" si="2"/>
        <v>0.18974788966313313</v>
      </c>
      <c r="F16" s="12">
        <f t="shared" si="3"/>
        <v>0.08681733998316603</v>
      </c>
      <c r="I16" s="36">
        <v>2927537000</v>
      </c>
      <c r="J16" s="36">
        <f t="shared" si="4"/>
        <v>1021902.8270833115</v>
      </c>
      <c r="K16" s="36"/>
      <c r="L16" s="36"/>
    </row>
    <row r="17" spans="1:12" ht="15">
      <c r="A17" s="5" t="s">
        <v>689</v>
      </c>
      <c r="B17" s="11">
        <f t="shared" si="0"/>
        <v>1479720.328540661</v>
      </c>
      <c r="C17" s="12">
        <f t="shared" si="1"/>
        <v>0.26992521208333115</v>
      </c>
      <c r="D17" s="11">
        <v>1336966</v>
      </c>
      <c r="E17" s="12">
        <f t="shared" si="2"/>
        <v>0.26980144772236986</v>
      </c>
      <c r="F17" s="12">
        <f t="shared" si="3"/>
        <v>0.10677483835838825</v>
      </c>
      <c r="I17" s="36">
        <v>4239088000</v>
      </c>
      <c r="J17" s="36">
        <f t="shared" si="4"/>
        <v>1479720.328540661</v>
      </c>
      <c r="K17" s="36"/>
      <c r="L17" s="36"/>
    </row>
    <row r="18" spans="1:12" ht="15">
      <c r="A18" s="5" t="s">
        <v>690</v>
      </c>
      <c r="B18" s="11">
        <f t="shared" si="0"/>
        <v>1252669.480136415</v>
      </c>
      <c r="C18" s="12">
        <f t="shared" si="1"/>
        <v>0.22850742033773896</v>
      </c>
      <c r="D18" s="11">
        <v>1103686</v>
      </c>
      <c r="E18" s="12">
        <f t="shared" si="2"/>
        <v>0.22272524554170525</v>
      </c>
      <c r="F18" s="12">
        <f t="shared" si="3"/>
        <v>0.13498719756924976</v>
      </c>
      <c r="I18" s="36">
        <v>3588635000</v>
      </c>
      <c r="J18" s="36">
        <f t="shared" si="4"/>
        <v>1252669.480136415</v>
      </c>
      <c r="K18" s="36"/>
      <c r="L18" s="36"/>
    </row>
    <row r="19" spans="1:12" ht="15">
      <c r="A19" s="5" t="s">
        <v>703</v>
      </c>
      <c r="B19" s="11">
        <f t="shared" si="0"/>
        <v>719505.4436799905</v>
      </c>
      <c r="C19" s="12">
        <f t="shared" si="1"/>
        <v>0.13124957178358854</v>
      </c>
      <c r="D19" s="11">
        <v>670647</v>
      </c>
      <c r="E19" s="12">
        <f t="shared" si="2"/>
        <v>0.13533742182722985</v>
      </c>
      <c r="F19" s="12">
        <f t="shared" si="3"/>
        <v>0.07285269848368886</v>
      </c>
      <c r="I19" s="36">
        <v>2061232000</v>
      </c>
      <c r="J19" s="36">
        <f t="shared" si="4"/>
        <v>719505.4436799905</v>
      </c>
      <c r="K19" s="36"/>
      <c r="L19" s="36"/>
    </row>
    <row r="20" spans="1:12" ht="15">
      <c r="A20" s="5" t="s">
        <v>873</v>
      </c>
      <c r="B20" s="11">
        <f t="shared" si="0"/>
        <v>160643.1885059638</v>
      </c>
      <c r="C20" s="12">
        <f t="shared" si="1"/>
        <v>0.029303947435782827</v>
      </c>
      <c r="D20" s="11">
        <v>135432</v>
      </c>
      <c r="E20" s="12">
        <f t="shared" si="2"/>
        <v>0.0273303507104414</v>
      </c>
      <c r="F20" s="12">
        <f t="shared" si="3"/>
        <v>0.1861538521617033</v>
      </c>
      <c r="I20" s="36">
        <v>460209000</v>
      </c>
      <c r="J20" s="36">
        <f t="shared" si="4"/>
        <v>160643.1885059638</v>
      </c>
      <c r="K20" s="36"/>
      <c r="L20" s="36"/>
    </row>
    <row r="21" spans="1:12" ht="15">
      <c r="A21" s="5" t="s">
        <v>686</v>
      </c>
      <c r="B21" s="11"/>
      <c r="C21" s="12"/>
      <c r="D21" s="11"/>
      <c r="E21" s="12"/>
      <c r="F21" s="12"/>
      <c r="I21" s="36"/>
      <c r="J21" s="36"/>
      <c r="K21" s="36"/>
      <c r="L21" s="36"/>
    </row>
    <row r="22" spans="1:12" ht="14.25">
      <c r="A22" s="13" t="s">
        <v>674</v>
      </c>
      <c r="B22" s="21">
        <f>SUM(B15:B21)</f>
        <v>5481964.1230247235</v>
      </c>
      <c r="C22" s="16">
        <f>SUM(C15:C21)</f>
        <v>1.0000000000000002</v>
      </c>
      <c r="D22" s="21">
        <f>SUM(D15:D20)</f>
        <v>4955370</v>
      </c>
      <c r="E22" s="16">
        <f>SUM(E15:E20)</f>
        <v>1</v>
      </c>
      <c r="F22" s="16">
        <f>(B22-D22)/D22</f>
        <v>0.10626736712389256</v>
      </c>
      <c r="I22" s="36">
        <f>SUM(I15:I21)</f>
        <v>15704676000</v>
      </c>
      <c r="J22" s="36">
        <f>SUM(J15:J21)</f>
        <v>5481964.1230247235</v>
      </c>
      <c r="K22" s="36"/>
      <c r="L22" s="36"/>
    </row>
    <row r="23" spans="1:12" ht="15">
      <c r="A23" s="5" t="s">
        <v>686</v>
      </c>
      <c r="B23" s="19"/>
      <c r="C23" s="20"/>
      <c r="D23" s="19"/>
      <c r="E23" s="20"/>
      <c r="F23" s="20"/>
      <c r="I23" s="36"/>
      <c r="J23" s="36"/>
      <c r="K23" s="36"/>
      <c r="L23" s="36"/>
    </row>
    <row r="24" spans="1:9" ht="12.75">
      <c r="A24" s="71" t="s">
        <v>866</v>
      </c>
      <c r="B24" s="67"/>
      <c r="C24" s="67"/>
      <c r="D24" s="67"/>
      <c r="E24" s="67"/>
      <c r="F24" s="67"/>
      <c r="G24" s="67"/>
      <c r="H24" s="67"/>
      <c r="I24" s="67"/>
    </row>
    <row r="25" spans="1:9" ht="12.75">
      <c r="A25" s="71"/>
      <c r="B25" s="67"/>
      <c r="C25" s="67"/>
      <c r="D25" s="67"/>
      <c r="E25" s="67"/>
      <c r="F25" s="67"/>
      <c r="G25" s="67"/>
      <c r="H25" s="67"/>
      <c r="I25" s="67"/>
    </row>
    <row r="26" spans="1:12" ht="12.75">
      <c r="A26" s="66" t="s">
        <v>1011</v>
      </c>
      <c r="B26" s="66"/>
      <c r="C26" s="66"/>
      <c r="D26" s="66"/>
      <c r="E26" s="133"/>
      <c r="F26" s="66"/>
      <c r="I26" s="36"/>
      <c r="J26" s="36"/>
      <c r="K26" s="36"/>
      <c r="L26" s="36"/>
    </row>
    <row r="27" spans="1:6" ht="12.75">
      <c r="A27" s="66" t="s">
        <v>1000</v>
      </c>
      <c r="B27" s="66"/>
      <c r="C27" s="66"/>
      <c r="D27" s="66"/>
      <c r="E27" s="133"/>
      <c r="F27" s="66"/>
    </row>
    <row r="28" spans="1:6" ht="12.75">
      <c r="A28" s="174"/>
      <c r="B28" s="174"/>
      <c r="C28" s="174"/>
      <c r="D28" s="174"/>
      <c r="E28" s="174"/>
      <c r="F28" s="174"/>
    </row>
    <row r="29" spans="1:10" ht="14.25">
      <c r="A29" s="7"/>
      <c r="B29" s="7" t="s">
        <v>735</v>
      </c>
      <c r="C29" s="7" t="s">
        <v>712</v>
      </c>
      <c r="D29" s="7" t="s">
        <v>735</v>
      </c>
      <c r="E29" s="7" t="s">
        <v>712</v>
      </c>
      <c r="F29" s="7" t="s">
        <v>713</v>
      </c>
      <c r="I29" t="s">
        <v>629</v>
      </c>
      <c r="J29" t="s">
        <v>630</v>
      </c>
    </row>
    <row r="30" spans="1:10" ht="15">
      <c r="A30" s="23"/>
      <c r="B30" s="23" t="s">
        <v>736</v>
      </c>
      <c r="C30" s="24" t="s">
        <v>715</v>
      </c>
      <c r="D30" s="23" t="s">
        <v>736</v>
      </c>
      <c r="E30" s="24" t="s">
        <v>715</v>
      </c>
      <c r="F30" s="159" t="s">
        <v>884</v>
      </c>
      <c r="I30" t="s">
        <v>882</v>
      </c>
      <c r="J30">
        <v>2400</v>
      </c>
    </row>
    <row r="31" spans="1:6" ht="15">
      <c r="A31" s="9"/>
      <c r="B31" s="122" t="s">
        <v>979</v>
      </c>
      <c r="C31" s="9" t="s">
        <v>716</v>
      </c>
      <c r="D31" s="218" t="s">
        <v>921</v>
      </c>
      <c r="E31" s="9" t="s">
        <v>716</v>
      </c>
      <c r="F31" s="26"/>
    </row>
    <row r="32" spans="1:6" ht="26.25">
      <c r="A32" s="178" t="s">
        <v>955</v>
      </c>
      <c r="B32" s="179">
        <v>880536</v>
      </c>
      <c r="C32" s="180">
        <v>1</v>
      </c>
      <c r="D32" s="179">
        <v>813775</v>
      </c>
      <c r="E32" s="180">
        <v>1</v>
      </c>
      <c r="F32" s="181">
        <f>(B32-D32)/D32</f>
        <v>0.0820386470461737</v>
      </c>
    </row>
    <row r="33" spans="1:6" ht="15">
      <c r="A33" s="178" t="s">
        <v>956</v>
      </c>
      <c r="B33" s="179">
        <v>835636</v>
      </c>
      <c r="C33" s="180">
        <v>1</v>
      </c>
      <c r="D33" s="179">
        <v>915022</v>
      </c>
      <c r="E33" s="180">
        <v>1</v>
      </c>
      <c r="F33" s="181">
        <f>(B33-D33)/D33</f>
        <v>-0.08675856973930682</v>
      </c>
    </row>
    <row r="34" spans="1:6" ht="12.75">
      <c r="A34" s="66"/>
      <c r="B34" s="66"/>
      <c r="C34" s="66"/>
      <c r="D34" s="66"/>
      <c r="E34" s="133"/>
      <c r="F34" s="66"/>
    </row>
    <row r="35" spans="1:6" ht="12.75">
      <c r="A35" s="66"/>
      <c r="B35" s="66"/>
      <c r="C35" s="66"/>
      <c r="D35" s="66"/>
      <c r="E35" s="133"/>
      <c r="F35" s="66"/>
    </row>
    <row r="36" spans="2:12" ht="12.75">
      <c r="B36" t="s">
        <v>739</v>
      </c>
      <c r="I36" s="36"/>
      <c r="J36" s="36"/>
      <c r="K36" s="36"/>
      <c r="L36" s="36"/>
    </row>
    <row r="37" spans="1:12" ht="12.75">
      <c r="A37">
        <v>1994</v>
      </c>
      <c r="B37" s="36">
        <v>38</v>
      </c>
      <c r="I37" s="36"/>
      <c r="J37" s="36"/>
      <c r="K37" s="36"/>
      <c r="L37" s="36"/>
    </row>
    <row r="38" spans="1:12" ht="12.75">
      <c r="A38">
        <v>1995</v>
      </c>
      <c r="B38" s="36">
        <v>266</v>
      </c>
      <c r="I38" s="36"/>
      <c r="J38" s="36"/>
      <c r="K38" s="36"/>
      <c r="L38" s="36"/>
    </row>
    <row r="39" spans="1:2" ht="12.75">
      <c r="A39">
        <v>1996</v>
      </c>
      <c r="B39" s="36">
        <v>802</v>
      </c>
    </row>
    <row r="40" spans="1:2" ht="12.75">
      <c r="A40">
        <v>1997</v>
      </c>
      <c r="B40" s="36">
        <v>1367</v>
      </c>
    </row>
    <row r="41" spans="1:2" ht="12.75">
      <c r="A41">
        <v>1998</v>
      </c>
      <c r="B41" s="36">
        <v>2110</v>
      </c>
    </row>
    <row r="42" spans="1:2" ht="12.75">
      <c r="A42">
        <v>1999</v>
      </c>
      <c r="B42" s="36">
        <v>2887</v>
      </c>
    </row>
    <row r="43" spans="1:2" ht="12.75">
      <c r="A43" s="80">
        <v>2000</v>
      </c>
      <c r="B43" s="36">
        <v>3584.415</v>
      </c>
    </row>
    <row r="44" spans="1:2" ht="12.75">
      <c r="A44" s="80">
        <v>2001</v>
      </c>
      <c r="B44" s="36">
        <v>4955.37</v>
      </c>
    </row>
    <row r="45" spans="1:2" ht="12.75">
      <c r="A45" s="80">
        <v>2002</v>
      </c>
      <c r="B45" s="36">
        <f>+B22/1000</f>
        <v>5481.964123024723</v>
      </c>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&amp;C26</oddFooter>
  </headerFooter>
  <drawing r:id="rId1"/>
</worksheet>
</file>

<file path=xl/worksheets/sheet13.xml><?xml version="1.0" encoding="utf-8"?>
<worksheet xmlns="http://schemas.openxmlformats.org/spreadsheetml/2006/main" xmlns:r="http://schemas.openxmlformats.org/officeDocument/2006/relationships">
  <dimension ref="A1:I39"/>
  <sheetViews>
    <sheetView workbookViewId="0" topLeftCell="A1">
      <selection activeCell="A5" sqref="A5:F5"/>
    </sheetView>
  </sheetViews>
  <sheetFormatPr defaultColWidth="11.421875" defaultRowHeight="12.75"/>
  <cols>
    <col min="1" max="1" width="25.8515625" style="0" customWidth="1"/>
    <col min="2" max="2" width="17.8515625" style="0" customWidth="1"/>
    <col min="3" max="3" width="14.28125" style="0" customWidth="1"/>
    <col min="4" max="4" width="17.8515625" style="0" customWidth="1"/>
    <col min="5" max="6" width="14.28125" style="0" customWidth="1"/>
  </cols>
  <sheetData>
    <row r="1" spans="1:5" ht="14.25">
      <c r="A1" s="1" t="s">
        <v>658</v>
      </c>
      <c r="B1" s="2"/>
      <c r="C1" s="2"/>
      <c r="D1" s="2"/>
      <c r="E1" s="2"/>
    </row>
    <row r="2" spans="1:5" ht="14.25">
      <c r="A2" s="1" t="s">
        <v>659</v>
      </c>
      <c r="B2" s="2"/>
      <c r="C2" s="2"/>
      <c r="D2" s="2"/>
      <c r="E2" s="2"/>
    </row>
    <row r="3" spans="1:5" ht="14.25">
      <c r="A3" s="1"/>
      <c r="B3" s="2"/>
      <c r="C3" s="2"/>
      <c r="D3" s="2"/>
      <c r="E3" s="2"/>
    </row>
    <row r="4" spans="1:5" ht="13.5" thickBot="1">
      <c r="A4" s="4"/>
      <c r="B4" s="4"/>
      <c r="C4" s="4"/>
      <c r="D4" s="4"/>
      <c r="E4" s="4"/>
    </row>
    <row r="5" spans="1:6" ht="18">
      <c r="A5" s="522" t="s">
        <v>691</v>
      </c>
      <c r="B5" s="523"/>
      <c r="C5" s="523"/>
      <c r="D5" s="523"/>
      <c r="E5" s="523"/>
      <c r="F5" s="524"/>
    </row>
    <row r="6" spans="1:6" ht="18.75" thickBot="1">
      <c r="A6" s="516" t="s">
        <v>905</v>
      </c>
      <c r="B6" s="517"/>
      <c r="C6" s="517"/>
      <c r="D6" s="517"/>
      <c r="E6" s="517"/>
      <c r="F6" s="518"/>
    </row>
    <row r="7" spans="1:6" ht="15.75">
      <c r="A7" s="510" t="s">
        <v>984</v>
      </c>
      <c r="B7" s="510"/>
      <c r="C7" s="510"/>
      <c r="D7" s="510"/>
      <c r="E7" s="510"/>
      <c r="F7" s="510"/>
    </row>
    <row r="8" spans="1:6" ht="15.75">
      <c r="A8" s="511" t="s">
        <v>985</v>
      </c>
      <c r="B8" s="511"/>
      <c r="C8" s="511"/>
      <c r="D8" s="511"/>
      <c r="E8" s="511"/>
      <c r="F8" s="511"/>
    </row>
    <row r="9" spans="1:5" ht="15.75">
      <c r="A9" s="6"/>
      <c r="B9" s="5"/>
      <c r="C9" s="5"/>
      <c r="D9" s="5"/>
      <c r="E9" s="5"/>
    </row>
    <row r="10" spans="1:5" ht="15">
      <c r="A10" s="2"/>
      <c r="B10" s="5"/>
      <c r="C10" s="5"/>
      <c r="D10" s="5"/>
      <c r="E10" s="5"/>
    </row>
    <row r="11" spans="1:6" ht="15">
      <c r="A11" s="7" t="s">
        <v>661</v>
      </c>
      <c r="B11" s="549" t="s">
        <v>662</v>
      </c>
      <c r="C11" s="550"/>
      <c r="D11" s="550"/>
      <c r="E11" s="550"/>
      <c r="F11" s="551"/>
    </row>
    <row r="12" spans="1:6" ht="15">
      <c r="A12" s="9" t="s">
        <v>664</v>
      </c>
      <c r="B12" s="170" t="s">
        <v>979</v>
      </c>
      <c r="C12" s="8" t="s">
        <v>665</v>
      </c>
      <c r="D12" s="173" t="s">
        <v>921</v>
      </c>
      <c r="E12" s="8" t="s">
        <v>665</v>
      </c>
      <c r="F12" s="8" t="s">
        <v>883</v>
      </c>
    </row>
    <row r="13" spans="1:6" ht="15">
      <c r="A13" s="5"/>
      <c r="B13" s="11"/>
      <c r="C13" s="12"/>
      <c r="D13" s="11"/>
      <c r="E13" s="12"/>
      <c r="F13" s="12"/>
    </row>
    <row r="14" spans="1:6" ht="15">
      <c r="A14" s="5" t="s">
        <v>1001</v>
      </c>
      <c r="B14" s="119">
        <v>18062</v>
      </c>
      <c r="C14" s="12">
        <f aca="true" t="shared" si="0" ref="C14:C22">+B14/$B$24</f>
        <v>0.015374950628549638</v>
      </c>
      <c r="D14" s="119">
        <v>17932</v>
      </c>
      <c r="E14" s="106">
        <f aca="true" t="shared" si="1" ref="E14:E22">+D14/$D$24</f>
        <v>0.020165081078649665</v>
      </c>
      <c r="F14" s="106">
        <f>+(B14-D14)/D14</f>
        <v>0.007249609636404194</v>
      </c>
    </row>
    <row r="15" spans="1:6" ht="15">
      <c r="A15" s="5" t="s">
        <v>959</v>
      </c>
      <c r="B15" s="119">
        <v>591577</v>
      </c>
      <c r="C15" s="12">
        <f t="shared" si="0"/>
        <v>0.5035692153684813</v>
      </c>
      <c r="D15" s="214">
        <v>391537</v>
      </c>
      <c r="E15" s="106">
        <f t="shared" si="1"/>
        <v>0.4402953017115354</v>
      </c>
      <c r="F15" s="106">
        <f aca="true" t="shared" si="2" ref="F15:F22">+(B15-D15)/D15</f>
        <v>0.5109095692105727</v>
      </c>
    </row>
    <row r="16" spans="1:6" ht="15">
      <c r="A16" s="5" t="s">
        <v>924</v>
      </c>
      <c r="B16" s="119">
        <v>339659</v>
      </c>
      <c r="C16" s="12">
        <f t="shared" si="0"/>
        <v>0.2891285768764556</v>
      </c>
      <c r="D16" s="119">
        <v>275597</v>
      </c>
      <c r="E16" s="106">
        <f t="shared" si="1"/>
        <v>0.3099172345545735</v>
      </c>
      <c r="F16" s="106">
        <f t="shared" si="2"/>
        <v>0.2324481035715193</v>
      </c>
    </row>
    <row r="17" spans="1:6" ht="15">
      <c r="A17" s="5" t="s">
        <v>928</v>
      </c>
      <c r="B17" s="119">
        <v>275</v>
      </c>
      <c r="C17" s="12">
        <f t="shared" si="0"/>
        <v>0.00023408877327268023</v>
      </c>
      <c r="D17" s="119">
        <v>272</v>
      </c>
      <c r="E17" s="106">
        <f t="shared" si="1"/>
        <v>0.0003058722983154533</v>
      </c>
      <c r="F17" s="106">
        <f t="shared" si="2"/>
        <v>0.011029411764705883</v>
      </c>
    </row>
    <row r="18" spans="1:6" ht="15">
      <c r="A18" s="5" t="s">
        <v>927</v>
      </c>
      <c r="B18" s="119">
        <v>50079</v>
      </c>
      <c r="C18" s="12">
        <f t="shared" si="0"/>
        <v>0.04262884246080928</v>
      </c>
      <c r="D18" s="119">
        <v>49890</v>
      </c>
      <c r="E18" s="106">
        <f t="shared" si="1"/>
        <v>0.0561028270696984</v>
      </c>
      <c r="F18" s="106">
        <f t="shared" si="2"/>
        <v>0.003788334335538184</v>
      </c>
    </row>
    <row r="19" spans="1:6" ht="15">
      <c r="A19" s="5" t="s">
        <v>784</v>
      </c>
      <c r="B19" s="119">
        <v>821</v>
      </c>
      <c r="C19" s="12">
        <f t="shared" si="0"/>
        <v>0.0006988613922068017</v>
      </c>
      <c r="D19" s="119">
        <v>816</v>
      </c>
      <c r="E19" s="106">
        <f t="shared" si="1"/>
        <v>0.0009176168949463599</v>
      </c>
      <c r="F19" s="106">
        <f t="shared" si="2"/>
        <v>0.006127450980392157</v>
      </c>
    </row>
    <row r="20" spans="1:6" ht="15">
      <c r="A20" s="5" t="s">
        <v>925</v>
      </c>
      <c r="B20" s="119">
        <v>17796</v>
      </c>
      <c r="C20" s="12">
        <f t="shared" si="0"/>
        <v>0.015148522942402244</v>
      </c>
      <c r="D20" s="119">
        <v>17786</v>
      </c>
      <c r="E20" s="106">
        <f t="shared" si="1"/>
        <v>0.02000089962440681</v>
      </c>
      <c r="F20" s="106">
        <f t="shared" si="2"/>
        <v>0.0005622399640166423</v>
      </c>
    </row>
    <row r="21" spans="1:6" ht="15">
      <c r="A21" s="5" t="s">
        <v>926</v>
      </c>
      <c r="B21" s="119">
        <v>112936</v>
      </c>
      <c r="C21" s="12">
        <f t="shared" si="0"/>
        <v>0.09613472617572151</v>
      </c>
      <c r="D21" s="119">
        <v>94094</v>
      </c>
      <c r="E21" s="106">
        <f t="shared" si="1"/>
        <v>0.10581157366799361</v>
      </c>
      <c r="F21" s="106">
        <f t="shared" si="2"/>
        <v>0.20024656194868962</v>
      </c>
    </row>
    <row r="22" spans="1:6" ht="15">
      <c r="A22" s="5" t="s">
        <v>785</v>
      </c>
      <c r="B22" s="119">
        <v>43563</v>
      </c>
      <c r="C22" s="12">
        <f t="shared" si="0"/>
        <v>0.03708221538210098</v>
      </c>
      <c r="D22" s="119">
        <v>41336</v>
      </c>
      <c r="E22" s="106">
        <f t="shared" si="1"/>
        <v>0.0464835930998808</v>
      </c>
      <c r="F22" s="106">
        <f t="shared" si="2"/>
        <v>0.05387555641571511</v>
      </c>
    </row>
    <row r="23" spans="1:6" ht="15">
      <c r="A23" s="5"/>
      <c r="B23" s="11"/>
      <c r="C23" s="12"/>
      <c r="D23" s="11"/>
      <c r="E23" s="12"/>
      <c r="F23" s="12"/>
    </row>
    <row r="24" spans="1:6" ht="14.25">
      <c r="A24" s="13" t="s">
        <v>674</v>
      </c>
      <c r="B24" s="14">
        <f>SUM(B14:B23)</f>
        <v>1174768</v>
      </c>
      <c r="C24" s="15">
        <f>SUM(C14:C23)</f>
        <v>1</v>
      </c>
      <c r="D24" s="14">
        <f>SUM(D14:D22)</f>
        <v>889260</v>
      </c>
      <c r="E24" s="15">
        <f>SUM(E14:E22)</f>
        <v>1</v>
      </c>
      <c r="F24" s="15">
        <f>+(B24-D24)/D24</f>
        <v>0.3210624564244428</v>
      </c>
    </row>
    <row r="25" spans="1:5" ht="15">
      <c r="A25" s="11"/>
      <c r="B25" s="11"/>
      <c r="C25" s="11"/>
      <c r="D25" s="11"/>
      <c r="E25" s="11"/>
    </row>
    <row r="26" spans="1:5" ht="15">
      <c r="A26" s="69" t="s">
        <v>791</v>
      </c>
      <c r="B26" s="11"/>
      <c r="C26" s="11"/>
      <c r="D26" s="11"/>
      <c r="E26" s="11"/>
    </row>
    <row r="27" spans="1:5" ht="15">
      <c r="A27" s="69"/>
      <c r="B27" s="11"/>
      <c r="C27" s="11"/>
      <c r="D27" s="11"/>
      <c r="E27" s="11"/>
    </row>
    <row r="28" spans="1:6" ht="12.75">
      <c r="A28" s="174"/>
      <c r="B28" s="174"/>
      <c r="C28" s="174"/>
      <c r="D28" s="174"/>
      <c r="E28" s="174"/>
      <c r="F28" s="174"/>
    </row>
    <row r="29" spans="1:9" ht="15">
      <c r="A29" s="7"/>
      <c r="B29" s="527" t="s">
        <v>662</v>
      </c>
      <c r="C29" s="527"/>
      <c r="D29" s="527"/>
      <c r="E29" s="527"/>
      <c r="F29" s="527"/>
      <c r="G29" s="547"/>
      <c r="H29" s="548"/>
      <c r="I29" s="548"/>
    </row>
    <row r="30" spans="1:9" ht="15">
      <c r="A30" s="9"/>
      <c r="B30" s="10" t="s">
        <v>979</v>
      </c>
      <c r="C30" s="8" t="s">
        <v>665</v>
      </c>
      <c r="D30" s="8" t="s">
        <v>921</v>
      </c>
      <c r="E30" s="8" t="s">
        <v>665</v>
      </c>
      <c r="F30" s="8" t="s">
        <v>883</v>
      </c>
      <c r="G30" s="177"/>
      <c r="H30" s="60"/>
      <c r="I30" s="60"/>
    </row>
    <row r="31" spans="1:6" ht="15">
      <c r="A31" s="178" t="s">
        <v>955</v>
      </c>
      <c r="B31" s="182">
        <v>190922</v>
      </c>
      <c r="C31" s="180">
        <v>1</v>
      </c>
      <c r="D31" s="182">
        <v>176092</v>
      </c>
      <c r="E31" s="180">
        <v>1</v>
      </c>
      <c r="F31" s="181">
        <f>(B31-D31)/D31</f>
        <v>0.08421734093542012</v>
      </c>
    </row>
    <row r="32" spans="1:6" ht="15">
      <c r="A32" s="178" t="s">
        <v>956</v>
      </c>
      <c r="B32" s="182">
        <v>1266866</v>
      </c>
      <c r="C32" s="180">
        <v>1</v>
      </c>
      <c r="D32" s="182">
        <v>1013937</v>
      </c>
      <c r="E32" s="180">
        <v>1</v>
      </c>
      <c r="F32" s="181">
        <f>(B32-D32)/D32</f>
        <v>0.24945238214997578</v>
      </c>
    </row>
    <row r="36" spans="1:2" ht="12.75">
      <c r="A36" s="130" t="s">
        <v>1012</v>
      </c>
      <c r="B36" s="36">
        <v>989.831</v>
      </c>
    </row>
    <row r="37" spans="1:2" ht="12.75">
      <c r="A37" s="130" t="s">
        <v>1013</v>
      </c>
      <c r="B37" s="36">
        <v>889.26</v>
      </c>
    </row>
    <row r="38" spans="1:2" ht="12.75">
      <c r="A38" s="130" t="s">
        <v>901</v>
      </c>
      <c r="B38" s="36">
        <v>1044.568</v>
      </c>
    </row>
    <row r="39" spans="1:2" ht="12.75">
      <c r="A39" s="130" t="s">
        <v>1014</v>
      </c>
      <c r="B39" s="36">
        <f>+B24/1000</f>
        <v>1174.768</v>
      </c>
    </row>
  </sheetData>
  <mergeCells count="7">
    <mergeCell ref="B29:F29"/>
    <mergeCell ref="G29:I29"/>
    <mergeCell ref="B11:F11"/>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&amp;C27</oddFooter>
  </headerFooter>
  <drawing r:id="rId1"/>
</worksheet>
</file>

<file path=xl/worksheets/sheet14.xml><?xml version="1.0" encoding="utf-8"?>
<worksheet xmlns="http://schemas.openxmlformats.org/spreadsheetml/2006/main" xmlns:r="http://schemas.openxmlformats.org/officeDocument/2006/relationships">
  <dimension ref="A1:Q45"/>
  <sheetViews>
    <sheetView workbookViewId="0" topLeftCell="A1">
      <selection activeCell="A5" sqref="A5:F5"/>
    </sheetView>
  </sheetViews>
  <sheetFormatPr defaultColWidth="11.421875" defaultRowHeight="12.75"/>
  <cols>
    <col min="1" max="1" width="25.8515625" style="0" customWidth="1"/>
    <col min="2" max="2" width="17.8515625" style="0" customWidth="1"/>
    <col min="3" max="3" width="14.28125" style="0" customWidth="1"/>
    <col min="4" max="4" width="17.8515625" style="0" customWidth="1"/>
    <col min="5" max="6" width="14.28125" style="0" customWidth="1"/>
    <col min="8" max="8" width="15.00390625" style="0" bestFit="1" customWidth="1"/>
    <col min="9" max="9" width="15.8515625" style="0" bestFit="1" customWidth="1"/>
    <col min="10" max="10" width="15.00390625" style="0" bestFit="1" customWidth="1"/>
    <col min="11" max="11" width="15.8515625" style="0" bestFit="1" customWidth="1"/>
    <col min="12" max="12" width="12.7109375" style="0" bestFit="1" customWidth="1"/>
    <col min="14" max="14" width="8.421875" style="0" customWidth="1"/>
  </cols>
  <sheetData>
    <row r="1" spans="1:5" ht="12.75">
      <c r="A1" s="1" t="s">
        <v>658</v>
      </c>
      <c r="B1" s="1"/>
      <c r="C1" s="1"/>
      <c r="D1" s="1"/>
      <c r="E1" s="3"/>
    </row>
    <row r="2" spans="1:5" ht="12.75">
      <c r="A2" s="1" t="s">
        <v>659</v>
      </c>
      <c r="B2" s="1"/>
      <c r="C2" s="1"/>
      <c r="D2" s="1"/>
      <c r="E2" s="3"/>
    </row>
    <row r="3" spans="1:5" ht="12.75">
      <c r="A3" s="1"/>
      <c r="B3" s="1"/>
      <c r="C3" s="1"/>
      <c r="D3" s="1"/>
      <c r="E3" s="3"/>
    </row>
    <row r="4" spans="1:5" ht="13.5" thickBot="1">
      <c r="A4" s="1"/>
      <c r="B4" s="1"/>
      <c r="C4" s="1"/>
      <c r="D4" s="1"/>
      <c r="E4" s="3"/>
    </row>
    <row r="5" spans="1:6" ht="18">
      <c r="A5" s="522" t="s">
        <v>691</v>
      </c>
      <c r="B5" s="523"/>
      <c r="C5" s="523"/>
      <c r="D5" s="523"/>
      <c r="E5" s="523"/>
      <c r="F5" s="524"/>
    </row>
    <row r="6" spans="1:6" ht="18.75" thickBot="1">
      <c r="A6" s="516" t="s">
        <v>905</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5" ht="15">
      <c r="A9" s="22"/>
      <c r="B9" s="2"/>
      <c r="C9" s="2"/>
      <c r="D9" s="2"/>
      <c r="E9" s="5"/>
    </row>
    <row r="10" spans="1:5" ht="15">
      <c r="A10" s="22"/>
      <c r="B10" s="2"/>
      <c r="C10" s="2"/>
      <c r="D10" s="2"/>
      <c r="E10" s="5"/>
    </row>
    <row r="11" spans="1:11" ht="14.25">
      <c r="A11" s="7" t="s">
        <v>661</v>
      </c>
      <c r="B11" s="7" t="s">
        <v>735</v>
      </c>
      <c r="C11" s="7" t="s">
        <v>712</v>
      </c>
      <c r="D11" s="7" t="s">
        <v>735</v>
      </c>
      <c r="E11" s="7" t="s">
        <v>712</v>
      </c>
      <c r="F11" s="7" t="s">
        <v>713</v>
      </c>
      <c r="H11" s="94" t="s">
        <v>739</v>
      </c>
      <c r="I11" s="94" t="s">
        <v>903</v>
      </c>
      <c r="J11" s="94" t="s">
        <v>739</v>
      </c>
      <c r="K11" s="94" t="s">
        <v>903</v>
      </c>
    </row>
    <row r="12" spans="1:11" ht="15">
      <c r="A12" s="23" t="s">
        <v>714</v>
      </c>
      <c r="B12" s="23" t="s">
        <v>736</v>
      </c>
      <c r="C12" s="24" t="s">
        <v>715</v>
      </c>
      <c r="D12" s="23" t="s">
        <v>736</v>
      </c>
      <c r="E12" s="24" t="s">
        <v>715</v>
      </c>
      <c r="F12" s="159" t="s">
        <v>884</v>
      </c>
      <c r="H12" t="s">
        <v>911</v>
      </c>
      <c r="I12">
        <v>359.23</v>
      </c>
      <c r="J12" t="s">
        <v>911</v>
      </c>
      <c r="K12">
        <v>326.94</v>
      </c>
    </row>
    <row r="13" spans="1:17" ht="15">
      <c r="A13" s="9"/>
      <c r="B13" s="25" t="s">
        <v>979</v>
      </c>
      <c r="C13" s="9" t="s">
        <v>716</v>
      </c>
      <c r="D13" s="26" t="s">
        <v>921</v>
      </c>
      <c r="E13" s="9" t="s">
        <v>716</v>
      </c>
      <c r="F13" s="26"/>
      <c r="H13" s="42" t="s">
        <v>882</v>
      </c>
      <c r="I13" s="42"/>
      <c r="J13" s="42" t="s">
        <v>823</v>
      </c>
      <c r="K13" s="42"/>
      <c r="L13" s="42"/>
      <c r="N13" s="42"/>
      <c r="O13" s="42"/>
      <c r="P13" s="42"/>
      <c r="Q13" s="42"/>
    </row>
    <row r="14" spans="1:17" ht="15">
      <c r="A14" s="5" t="s">
        <v>686</v>
      </c>
      <c r="B14" s="19"/>
      <c r="C14" s="20"/>
      <c r="D14" s="19"/>
      <c r="E14" s="20"/>
      <c r="F14" s="106"/>
      <c r="I14" s="91"/>
      <c r="J14" s="42"/>
      <c r="K14" s="91"/>
      <c r="L14" s="42"/>
      <c r="N14" s="42"/>
      <c r="O14" s="42"/>
      <c r="P14" s="42"/>
      <c r="Q14" s="42"/>
    </row>
    <row r="15" spans="1:17" ht="15">
      <c r="A15" s="5" t="s">
        <v>1001</v>
      </c>
      <c r="B15" s="11">
        <v>3969.45</v>
      </c>
      <c r="C15" s="107">
        <f aca="true" t="shared" si="0" ref="C15:C23">+B15/$B$25</f>
        <v>0.029128872466179956</v>
      </c>
      <c r="D15" s="105">
        <v>459.56</v>
      </c>
      <c r="E15" s="106">
        <f aca="true" t="shared" si="1" ref="E15:E23">+D15/$D$25</f>
        <v>0.022013194696255185</v>
      </c>
      <c r="F15" s="106">
        <f>+(B15-D15)/D15</f>
        <v>7.637501087997214</v>
      </c>
      <c r="H15" s="36">
        <v>754882</v>
      </c>
      <c r="I15" s="36">
        <f>+H15/$I$12</f>
        <v>2101.389082203602</v>
      </c>
      <c r="J15" s="36">
        <v>66183</v>
      </c>
      <c r="K15" s="36">
        <f>+J15/$K$12</f>
        <v>202.43163883281335</v>
      </c>
      <c r="L15" s="77"/>
      <c r="N15" s="36"/>
      <c r="P15" s="36"/>
      <c r="Q15" s="36"/>
    </row>
    <row r="16" spans="1:17" ht="15">
      <c r="A16" s="5" t="s">
        <v>959</v>
      </c>
      <c r="B16" s="11">
        <v>43242.13</v>
      </c>
      <c r="C16" s="107">
        <f t="shared" si="0"/>
        <v>0.31732217056165823</v>
      </c>
      <c r="D16" s="105">
        <v>5814.24</v>
      </c>
      <c r="E16" s="106">
        <f t="shared" si="1"/>
        <v>0.2785055207823891</v>
      </c>
      <c r="F16" s="106">
        <f aca="true" t="shared" si="2" ref="F16:F23">+(B16-D16)/D16</f>
        <v>6.437279850848951</v>
      </c>
      <c r="H16" s="36">
        <f>2354574+4850478</f>
        <v>7205052</v>
      </c>
      <c r="I16" s="36">
        <f aca="true" t="shared" si="3" ref="I16:I23">+H16/$I$12</f>
        <v>20056.932884224592</v>
      </c>
      <c r="J16" s="36">
        <f>109538+384624</f>
        <v>494162</v>
      </c>
      <c r="K16" s="36">
        <f aca="true" t="shared" si="4" ref="K16:K23">+J16/$K$12</f>
        <v>1511.4761118247998</v>
      </c>
      <c r="L16" s="77"/>
      <c r="N16" s="36"/>
      <c r="P16" s="36"/>
      <c r="Q16" s="36"/>
    </row>
    <row r="17" spans="1:17" ht="15">
      <c r="A17" s="5" t="s">
        <v>924</v>
      </c>
      <c r="B17" s="11">
        <v>53107.99</v>
      </c>
      <c r="C17" s="107">
        <f t="shared" si="0"/>
        <v>0.3897204569008705</v>
      </c>
      <c r="D17" s="105">
        <v>8397.32</v>
      </c>
      <c r="E17" s="106">
        <f t="shared" si="1"/>
        <v>0.4022365743031543</v>
      </c>
      <c r="F17" s="106">
        <f t="shared" si="2"/>
        <v>5.324397545883687</v>
      </c>
      <c r="H17" s="36">
        <v>10600484</v>
      </c>
      <c r="I17" s="36">
        <f t="shared" si="3"/>
        <v>29508.905158255155</v>
      </c>
      <c r="J17" s="36">
        <v>932539</v>
      </c>
      <c r="K17" s="36">
        <f t="shared" si="4"/>
        <v>2852.324585550866</v>
      </c>
      <c r="L17" s="77"/>
      <c r="N17" s="79"/>
      <c r="O17" s="80"/>
      <c r="P17" s="79"/>
      <c r="Q17" s="79"/>
    </row>
    <row r="18" spans="1:17" ht="15">
      <c r="A18" s="5" t="s">
        <v>928</v>
      </c>
      <c r="B18" s="11">
        <v>20.53</v>
      </c>
      <c r="C18" s="107">
        <f t="shared" si="0"/>
        <v>0.00015065456215109766</v>
      </c>
      <c r="D18" s="105">
        <v>0.84</v>
      </c>
      <c r="E18" s="106">
        <f t="shared" si="1"/>
        <v>4.023649478817642E-05</v>
      </c>
      <c r="F18" s="106">
        <f t="shared" si="2"/>
        <v>23.440476190476193</v>
      </c>
      <c r="H18" s="36">
        <v>5836</v>
      </c>
      <c r="I18" s="36">
        <f t="shared" si="3"/>
        <v>16.245859198841966</v>
      </c>
      <c r="J18" s="36">
        <v>46</v>
      </c>
      <c r="K18" s="36">
        <f t="shared" si="4"/>
        <v>0.14069859913133909</v>
      </c>
      <c r="L18" s="77"/>
      <c r="N18" s="36"/>
      <c r="P18" s="78"/>
      <c r="Q18" s="36"/>
    </row>
    <row r="19" spans="1:17" ht="15">
      <c r="A19" s="5" t="s">
        <v>927</v>
      </c>
      <c r="B19" s="11">
        <v>5174.39</v>
      </c>
      <c r="C19" s="107">
        <f t="shared" si="0"/>
        <v>0.03797104042128681</v>
      </c>
      <c r="D19" s="105">
        <v>661.86</v>
      </c>
      <c r="E19" s="106">
        <f t="shared" si="1"/>
        <v>0.03170348385774101</v>
      </c>
      <c r="F19" s="106">
        <f t="shared" si="2"/>
        <v>6.817952437071285</v>
      </c>
      <c r="H19" s="36">
        <v>1055335</v>
      </c>
      <c r="I19" s="36">
        <f t="shared" si="3"/>
        <v>2937.7696740249976</v>
      </c>
      <c r="J19" s="36">
        <v>90823</v>
      </c>
      <c r="K19" s="36">
        <f t="shared" si="4"/>
        <v>277.797149324035</v>
      </c>
      <c r="L19" s="77"/>
      <c r="N19" s="36"/>
      <c r="P19" s="36"/>
      <c r="Q19" s="36"/>
    </row>
    <row r="20" spans="1:17" ht="15">
      <c r="A20" s="5" t="s">
        <v>784</v>
      </c>
      <c r="B20" s="11">
        <v>183.38</v>
      </c>
      <c r="C20" s="107">
        <f t="shared" si="0"/>
        <v>0.0013456908722488203</v>
      </c>
      <c r="D20" s="105">
        <v>28.63</v>
      </c>
      <c r="E20" s="106">
        <f t="shared" si="1"/>
        <v>0.0013713938640303462</v>
      </c>
      <c r="F20" s="106">
        <f t="shared" si="2"/>
        <v>5.4051694027244155</v>
      </c>
      <c r="H20" s="36">
        <v>36998</v>
      </c>
      <c r="I20" s="36">
        <f t="shared" si="3"/>
        <v>102.99251176126715</v>
      </c>
      <c r="J20" s="36">
        <v>2244</v>
      </c>
      <c r="K20" s="36">
        <f t="shared" si="4"/>
        <v>6.863644705450541</v>
      </c>
      <c r="L20" s="77"/>
      <c r="N20" s="36"/>
      <c r="P20" s="36"/>
      <c r="Q20" s="36"/>
    </row>
    <row r="21" spans="1:17" s="151" customFormat="1" ht="15">
      <c r="A21" s="5" t="s">
        <v>925</v>
      </c>
      <c r="B21" s="11">
        <v>3714.74</v>
      </c>
      <c r="C21" s="107">
        <f t="shared" si="0"/>
        <v>0.02725974321505935</v>
      </c>
      <c r="D21" s="105">
        <v>630.44</v>
      </c>
      <c r="E21" s="106">
        <f t="shared" si="1"/>
        <v>0.030198447350307075</v>
      </c>
      <c r="F21" s="106">
        <f t="shared" si="2"/>
        <v>4.892297443055643</v>
      </c>
      <c r="H21" s="190">
        <v>673289</v>
      </c>
      <c r="I21" s="36">
        <f t="shared" si="3"/>
        <v>1874.2560476574895</v>
      </c>
      <c r="J21" s="190">
        <v>52397</v>
      </c>
      <c r="K21" s="36">
        <f t="shared" si="4"/>
        <v>160.26488040619074</v>
      </c>
      <c r="L21" s="191"/>
      <c r="N21" s="190"/>
      <c r="P21" s="190"/>
      <c r="Q21" s="190"/>
    </row>
    <row r="22" spans="1:17" ht="15">
      <c r="A22" s="5" t="s">
        <v>926</v>
      </c>
      <c r="B22" s="11">
        <v>15492.86</v>
      </c>
      <c r="C22" s="107">
        <f t="shared" si="0"/>
        <v>0.11369069847872648</v>
      </c>
      <c r="D22" s="105">
        <v>2476.74</v>
      </c>
      <c r="E22" s="106">
        <f t="shared" si="1"/>
        <v>0.11863730488293815</v>
      </c>
      <c r="F22" s="106">
        <f t="shared" si="2"/>
        <v>5.255343717951825</v>
      </c>
      <c r="H22" s="36">
        <v>3126751</v>
      </c>
      <c r="I22" s="36">
        <f t="shared" si="3"/>
        <v>8704.036411212872</v>
      </c>
      <c r="J22" s="36">
        <v>287847</v>
      </c>
      <c r="K22" s="36">
        <f t="shared" si="4"/>
        <v>880.4276013947514</v>
      </c>
      <c r="L22" s="77"/>
      <c r="N22" s="36"/>
      <c r="P22" s="78"/>
      <c r="Q22" s="36"/>
    </row>
    <row r="23" spans="1:17" ht="15">
      <c r="A23" s="5" t="s">
        <v>785</v>
      </c>
      <c r="B23" s="11">
        <v>11366.54</v>
      </c>
      <c r="C23" s="107">
        <f t="shared" si="0"/>
        <v>0.08341067252181868</v>
      </c>
      <c r="D23" s="105">
        <v>2406.94</v>
      </c>
      <c r="E23" s="106">
        <f t="shared" si="1"/>
        <v>0.11529384376839684</v>
      </c>
      <c r="F23" s="106">
        <f t="shared" si="2"/>
        <v>3.7224027188047897</v>
      </c>
      <c r="H23" s="36">
        <f>1806055+451727</f>
        <v>2257782</v>
      </c>
      <c r="I23" s="36">
        <f t="shared" si="3"/>
        <v>6285.0597110486315</v>
      </c>
      <c r="J23" s="36">
        <f>156805+39335</f>
        <v>196140</v>
      </c>
      <c r="K23" s="36">
        <f t="shared" si="4"/>
        <v>599.9265920352358</v>
      </c>
      <c r="L23" s="77"/>
      <c r="N23" s="36"/>
      <c r="P23" s="78"/>
      <c r="Q23" s="36"/>
    </row>
    <row r="24" spans="1:17" ht="15">
      <c r="A24" s="5" t="s">
        <v>686</v>
      </c>
      <c r="B24" s="11"/>
      <c r="C24" s="12"/>
      <c r="D24" s="11"/>
      <c r="E24" s="12"/>
      <c r="F24" s="106"/>
      <c r="I24" s="36"/>
      <c r="J24" s="36"/>
      <c r="K24" s="36"/>
      <c r="N24" s="36"/>
      <c r="P24" s="36"/>
      <c r="Q24" s="36"/>
    </row>
    <row r="25" spans="1:17" ht="14.25">
      <c r="A25" s="13" t="s">
        <v>674</v>
      </c>
      <c r="B25" s="21">
        <f>SUM(B15:B24)</f>
        <v>136272.01</v>
      </c>
      <c r="C25" s="16">
        <f>SUM(C15:C24)</f>
        <v>0.9999999999999999</v>
      </c>
      <c r="D25" s="150">
        <f>SUM(D15:D23)</f>
        <v>20876.569999999996</v>
      </c>
      <c r="E25" s="138">
        <f>SUM(E15:E23)</f>
        <v>1.0000000000000002</v>
      </c>
      <c r="F25" s="138">
        <f>+(B25-D25)/D25</f>
        <v>5.527509547784911</v>
      </c>
      <c r="H25" s="90">
        <f>SUM(H16:H24)</f>
        <v>24961527</v>
      </c>
      <c r="I25" s="90">
        <f>SUM(I16:I24)</f>
        <v>69486.19825738385</v>
      </c>
      <c r="J25" s="90">
        <f>SUM(J16:J23)</f>
        <v>2056198</v>
      </c>
      <c r="K25" s="90">
        <f>SUM(K15:K23)</f>
        <v>6491.652902673273</v>
      </c>
      <c r="L25" s="92"/>
      <c r="N25" s="36"/>
      <c r="O25" s="36"/>
      <c r="P25" s="36"/>
      <c r="Q25" s="36"/>
    </row>
    <row r="26" spans="1:15" ht="15">
      <c r="A26" s="5" t="s">
        <v>686</v>
      </c>
      <c r="B26" s="19"/>
      <c r="C26" s="20"/>
      <c r="D26" s="19"/>
      <c r="E26" s="20"/>
      <c r="H26" s="36"/>
      <c r="J26" s="77"/>
      <c r="O26" s="36"/>
    </row>
    <row r="27" spans="1:9" ht="12.75">
      <c r="A27" s="69" t="s">
        <v>791</v>
      </c>
      <c r="B27" s="18"/>
      <c r="C27" s="18"/>
      <c r="E27" s="18"/>
      <c r="I27" s="36"/>
    </row>
    <row r="28" spans="1:9" ht="12.75">
      <c r="A28" s="69"/>
      <c r="B28" s="18"/>
      <c r="C28" s="18"/>
      <c r="E28" s="18"/>
      <c r="I28" s="36"/>
    </row>
    <row r="29" spans="1:12" ht="12.75">
      <c r="A29" s="172" t="s">
        <v>1003</v>
      </c>
      <c r="B29" s="172"/>
      <c r="C29" s="66"/>
      <c r="D29" s="66"/>
      <c r="E29" s="133"/>
      <c r="F29" s="66"/>
      <c r="I29" s="36"/>
      <c r="J29" s="36"/>
      <c r="K29" s="36"/>
      <c r="L29" s="36"/>
    </row>
    <row r="30" spans="1:6" ht="12.75">
      <c r="A30" s="172" t="s">
        <v>1002</v>
      </c>
      <c r="B30" s="172"/>
      <c r="C30" s="66"/>
      <c r="D30" s="66"/>
      <c r="E30" s="133"/>
      <c r="F30" s="66"/>
    </row>
    <row r="31" spans="1:6" ht="12.75">
      <c r="A31" s="172"/>
      <c r="B31" s="172"/>
      <c r="C31" s="66"/>
      <c r="D31" s="66"/>
      <c r="E31" s="133"/>
      <c r="F31" s="66"/>
    </row>
    <row r="32" spans="1:6" ht="12.75">
      <c r="A32" s="174"/>
      <c r="B32" s="174"/>
      <c r="C32" s="174"/>
      <c r="D32" s="174"/>
      <c r="E32" s="174"/>
      <c r="F32" s="174"/>
    </row>
    <row r="33" spans="1:10" ht="14.25">
      <c r="A33" s="7" t="s">
        <v>661</v>
      </c>
      <c r="B33" s="7" t="s">
        <v>735</v>
      </c>
      <c r="C33" s="7" t="s">
        <v>712</v>
      </c>
      <c r="D33" s="7" t="s">
        <v>735</v>
      </c>
      <c r="E33" s="7" t="s">
        <v>712</v>
      </c>
      <c r="F33" s="7" t="s">
        <v>713</v>
      </c>
      <c r="I33" t="s">
        <v>629</v>
      </c>
      <c r="J33" t="s">
        <v>630</v>
      </c>
    </row>
    <row r="34" spans="1:10" ht="15">
      <c r="A34" s="23" t="s">
        <v>714</v>
      </c>
      <c r="B34" s="23" t="s">
        <v>736</v>
      </c>
      <c r="C34" s="24" t="s">
        <v>715</v>
      </c>
      <c r="D34" s="23" t="s">
        <v>736</v>
      </c>
      <c r="E34" s="24" t="s">
        <v>715</v>
      </c>
      <c r="F34" s="159" t="s">
        <v>884</v>
      </c>
      <c r="I34" t="s">
        <v>882</v>
      </c>
      <c r="J34">
        <v>2400</v>
      </c>
    </row>
    <row r="35" spans="1:6" ht="15">
      <c r="A35" s="9"/>
      <c r="B35" s="25" t="s">
        <v>979</v>
      </c>
      <c r="C35" s="9" t="s">
        <v>716</v>
      </c>
      <c r="D35" s="26" t="s">
        <v>921</v>
      </c>
      <c r="E35" s="9" t="s">
        <v>716</v>
      </c>
      <c r="F35" s="26"/>
    </row>
    <row r="36" spans="1:6" ht="15">
      <c r="A36" s="178" t="s">
        <v>955</v>
      </c>
      <c r="B36" s="182">
        <v>286147.2</v>
      </c>
      <c r="C36" s="180">
        <v>1</v>
      </c>
      <c r="D36" s="182">
        <v>203657</v>
      </c>
      <c r="E36" s="180">
        <v>1</v>
      </c>
      <c r="F36" s="181">
        <f>(B36-D36)/D36</f>
        <v>0.4050447566251099</v>
      </c>
    </row>
    <row r="37" spans="1:6" ht="15">
      <c r="A37" s="178" t="s">
        <v>956</v>
      </c>
      <c r="B37" s="182">
        <v>94044.86</v>
      </c>
      <c r="C37" s="180">
        <v>1</v>
      </c>
      <c r="D37" s="182">
        <v>27373</v>
      </c>
      <c r="E37" s="180">
        <v>1</v>
      </c>
      <c r="F37" s="181">
        <f>(B37-D37)/D37</f>
        <v>2.435679684360501</v>
      </c>
    </row>
    <row r="38" ht="12.75">
      <c r="C38" s="36"/>
    </row>
    <row r="39" spans="2:3" ht="12.75">
      <c r="B39" s="80"/>
      <c r="C39" s="36"/>
    </row>
    <row r="42" spans="1:2" ht="12.75">
      <c r="A42" s="130" t="s">
        <v>1012</v>
      </c>
      <c r="B42" s="118">
        <v>4.98</v>
      </c>
    </row>
    <row r="43" spans="1:2" ht="12.75">
      <c r="A43" s="130" t="s">
        <v>1013</v>
      </c>
      <c r="B43" s="118">
        <v>20.877</v>
      </c>
    </row>
    <row r="44" spans="1:2" ht="12.75">
      <c r="A44" s="130" t="s">
        <v>901</v>
      </c>
      <c r="B44" s="118">
        <v>71.588</v>
      </c>
    </row>
    <row r="45" spans="1:2" ht="12.75">
      <c r="A45" s="130" t="s">
        <v>1014</v>
      </c>
      <c r="B45" s="118">
        <f>+B25/1000</f>
        <v>136.27201000000002</v>
      </c>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&amp;C28</oddFooter>
  </headerFooter>
  <drawing r:id="rId1"/>
</worksheet>
</file>

<file path=xl/worksheets/sheet15.xml><?xml version="1.0" encoding="utf-8"?>
<worksheet xmlns="http://schemas.openxmlformats.org/spreadsheetml/2006/main" xmlns:r="http://schemas.openxmlformats.org/officeDocument/2006/relationships">
  <dimension ref="A1:I54"/>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 min="11" max="11" width="14.7109375" style="0" customWidth="1"/>
    <col min="12" max="12" width="12.7109375" style="0" bestFit="1" customWidth="1"/>
    <col min="13" max="13" width="13.7109375" style="0" bestFit="1" customWidth="1"/>
    <col min="14" max="15" width="12.7109375" style="0" bestFit="1" customWidth="1"/>
    <col min="16" max="17" width="13.7109375" style="0" bestFit="1"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717</v>
      </c>
      <c r="B5" s="523"/>
      <c r="C5" s="523"/>
      <c r="D5" s="523"/>
      <c r="E5" s="523"/>
      <c r="F5" s="523"/>
      <c r="G5" s="523"/>
      <c r="H5" s="523"/>
      <c r="I5" s="524"/>
    </row>
    <row r="6" spans="1:9" ht="18.75" thickBot="1">
      <c r="A6" s="516" t="s">
        <v>905</v>
      </c>
      <c r="B6" s="517"/>
      <c r="C6" s="517"/>
      <c r="D6" s="517"/>
      <c r="E6" s="517"/>
      <c r="F6" s="517"/>
      <c r="G6" s="517"/>
      <c r="H6" s="517"/>
      <c r="I6" s="518"/>
    </row>
    <row r="7" spans="1:9" ht="15.75">
      <c r="A7" s="510" t="s">
        <v>977</v>
      </c>
      <c r="B7" s="510"/>
      <c r="C7" s="510"/>
      <c r="D7" s="510"/>
      <c r="E7" s="510"/>
      <c r="F7" s="510"/>
      <c r="G7" s="510"/>
      <c r="H7" s="510"/>
      <c r="I7" s="510"/>
    </row>
    <row r="8" spans="1:9" ht="15.75">
      <c r="A8" s="511" t="s">
        <v>978</v>
      </c>
      <c r="B8" s="511"/>
      <c r="C8" s="511"/>
      <c r="D8" s="511"/>
      <c r="E8" s="511"/>
      <c r="F8" s="511"/>
      <c r="G8" s="511"/>
      <c r="H8" s="511"/>
      <c r="I8" s="511"/>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28" t="s">
        <v>663</v>
      </c>
      <c r="H11" s="514"/>
      <c r="I11" s="515"/>
    </row>
    <row r="12" spans="1:9" ht="15">
      <c r="A12" s="9" t="s">
        <v>664</v>
      </c>
      <c r="B12" s="8" t="s">
        <v>979</v>
      </c>
      <c r="C12" s="8" t="s">
        <v>665</v>
      </c>
      <c r="D12" s="8" t="s">
        <v>921</v>
      </c>
      <c r="E12" s="8" t="s">
        <v>665</v>
      </c>
      <c r="F12" s="8" t="s">
        <v>883</v>
      </c>
      <c r="G12" s="8" t="s">
        <v>979</v>
      </c>
      <c r="H12" s="8" t="s">
        <v>921</v>
      </c>
      <c r="I12" s="8" t="s">
        <v>883</v>
      </c>
    </row>
    <row r="13" spans="1:9" ht="15">
      <c r="A13" s="5"/>
      <c r="B13" s="11"/>
      <c r="C13" s="12"/>
      <c r="D13" s="11"/>
      <c r="E13" s="12"/>
      <c r="F13" s="12"/>
      <c r="G13" s="11"/>
      <c r="H13" s="11"/>
      <c r="I13" s="11"/>
    </row>
    <row r="14" spans="1:9" ht="15">
      <c r="A14" s="5" t="s">
        <v>680</v>
      </c>
      <c r="B14" s="11">
        <v>441116</v>
      </c>
      <c r="C14" s="12">
        <f>+B14/$B$22</f>
        <v>0.06575487691643322</v>
      </c>
      <c r="D14" s="11">
        <v>431459</v>
      </c>
      <c r="E14" s="12">
        <f aca="true" t="shared" si="0" ref="E14:E20">+D14/$D$22</f>
        <v>0.06712540310184614</v>
      </c>
      <c r="F14" s="12">
        <f>+(B14-D14)/D14</f>
        <v>0.0223821962225843</v>
      </c>
      <c r="G14" s="11">
        <v>307584</v>
      </c>
      <c r="H14" s="11">
        <v>316979</v>
      </c>
      <c r="I14" s="33">
        <f>+(G14-H14)/H14</f>
        <v>-0.029639187454058472</v>
      </c>
    </row>
    <row r="15" spans="1:9" ht="15">
      <c r="A15" s="5" t="s">
        <v>681</v>
      </c>
      <c r="B15" s="11">
        <v>1632516</v>
      </c>
      <c r="C15" s="12">
        <f aca="true" t="shared" si="1" ref="C15:C20">+B15/$B$22</f>
        <v>0.24335070286298363</v>
      </c>
      <c r="D15" s="11">
        <v>1488371</v>
      </c>
      <c r="E15" s="12">
        <f t="shared" si="0"/>
        <v>0.23155735154463775</v>
      </c>
      <c r="F15" s="12">
        <f aca="true" t="shared" si="2" ref="F15:F20">+(B15-D15)/D15</f>
        <v>0.09684749299737767</v>
      </c>
      <c r="G15" s="11">
        <v>857519</v>
      </c>
      <c r="H15" s="11">
        <v>801514</v>
      </c>
      <c r="I15" s="33">
        <f aca="true" t="shared" si="3" ref="I15:I20">+(G15-H15)/H15</f>
        <v>0.0698740134295845</v>
      </c>
    </row>
    <row r="16" spans="1:9" ht="15">
      <c r="A16" s="5" t="s">
        <v>887</v>
      </c>
      <c r="B16" s="11">
        <v>113817</v>
      </c>
      <c r="C16" s="12">
        <f t="shared" si="1"/>
        <v>0.01696611056048223</v>
      </c>
      <c r="D16" s="11">
        <v>108235</v>
      </c>
      <c r="E16" s="12">
        <f t="shared" si="0"/>
        <v>0.016838953422522923</v>
      </c>
      <c r="F16" s="12">
        <f t="shared" si="2"/>
        <v>0.051572966230886495</v>
      </c>
      <c r="G16" s="11">
        <v>66284</v>
      </c>
      <c r="H16" s="11">
        <v>66018</v>
      </c>
      <c r="I16" s="33">
        <f t="shared" si="3"/>
        <v>0.004029204156442183</v>
      </c>
    </row>
    <row r="17" spans="1:9" ht="15">
      <c r="A17" s="5" t="s">
        <v>682</v>
      </c>
      <c r="B17" s="11">
        <v>315863</v>
      </c>
      <c r="C17" s="12">
        <f t="shared" si="1"/>
        <v>0.04708406108020418</v>
      </c>
      <c r="D17" s="11">
        <v>312876</v>
      </c>
      <c r="E17" s="12">
        <f t="shared" si="0"/>
        <v>0.048676531538091025</v>
      </c>
      <c r="F17" s="12">
        <f t="shared" si="2"/>
        <v>0.009546913154092996</v>
      </c>
      <c r="G17" s="11">
        <v>92716</v>
      </c>
      <c r="H17" s="11">
        <v>93273</v>
      </c>
      <c r="I17" s="33">
        <f t="shared" si="3"/>
        <v>-0.005971717431625443</v>
      </c>
    </row>
    <row r="18" spans="1:9" ht="15">
      <c r="A18" s="5" t="s">
        <v>789</v>
      </c>
      <c r="B18" s="11">
        <v>2700558</v>
      </c>
      <c r="C18" s="12">
        <f t="shared" si="1"/>
        <v>0.4025581908062484</v>
      </c>
      <c r="D18" s="11">
        <v>2626043</v>
      </c>
      <c r="E18" s="12">
        <f t="shared" si="0"/>
        <v>0.40855375583260833</v>
      </c>
      <c r="F18" s="12">
        <f t="shared" si="2"/>
        <v>0.028375392177508136</v>
      </c>
      <c r="G18" s="11">
        <v>1409983</v>
      </c>
      <c r="H18" s="11">
        <v>1462141</v>
      </c>
      <c r="I18" s="33">
        <f t="shared" si="3"/>
        <v>-0.03567234623746957</v>
      </c>
    </row>
    <row r="19" spans="1:9" ht="15">
      <c r="A19" s="5" t="s">
        <v>683</v>
      </c>
      <c r="B19" s="11">
        <v>992792</v>
      </c>
      <c r="C19" s="12">
        <f t="shared" si="1"/>
        <v>0.1479903602762529</v>
      </c>
      <c r="D19" s="11">
        <v>960090</v>
      </c>
      <c r="E19" s="12">
        <f t="shared" si="0"/>
        <v>0.1493686034224607</v>
      </c>
      <c r="F19" s="12">
        <f t="shared" si="2"/>
        <v>0.034061390078013516</v>
      </c>
      <c r="G19" s="11">
        <v>410675</v>
      </c>
      <c r="H19" s="11">
        <v>429071</v>
      </c>
      <c r="I19" s="33">
        <f t="shared" si="3"/>
        <v>-0.04287402318031282</v>
      </c>
    </row>
    <row r="20" spans="1:9" ht="15">
      <c r="A20" s="5" t="s">
        <v>684</v>
      </c>
      <c r="B20" s="11">
        <v>511829</v>
      </c>
      <c r="C20" s="12">
        <f t="shared" si="1"/>
        <v>0.07629569749739547</v>
      </c>
      <c r="D20" s="11">
        <v>500582</v>
      </c>
      <c r="E20" s="12">
        <f t="shared" si="0"/>
        <v>0.07787940113783313</v>
      </c>
      <c r="F20" s="12">
        <f t="shared" si="2"/>
        <v>0.022467847425596606</v>
      </c>
      <c r="G20" s="11">
        <v>279463</v>
      </c>
      <c r="H20" s="11">
        <v>281084</v>
      </c>
      <c r="I20" s="33">
        <f t="shared" si="3"/>
        <v>-0.005766959343114514</v>
      </c>
    </row>
    <row r="21" spans="1:9" ht="15">
      <c r="A21" s="5"/>
      <c r="B21" s="11"/>
      <c r="C21" s="12"/>
      <c r="D21" s="11"/>
      <c r="E21" s="12"/>
      <c r="F21" s="12"/>
      <c r="G21" s="11"/>
      <c r="H21" s="11"/>
      <c r="I21" s="11"/>
    </row>
    <row r="22" spans="1:9" ht="14.25">
      <c r="A22" s="13" t="s">
        <v>674</v>
      </c>
      <c r="B22" s="14">
        <f>SUM(B14:B21)</f>
        <v>6708491</v>
      </c>
      <c r="C22" s="15">
        <f>SUM(C14:C21)</f>
        <v>1</v>
      </c>
      <c r="D22" s="14">
        <f>SUM(D14:D21)</f>
        <v>6427656</v>
      </c>
      <c r="E22" s="15">
        <f>SUM(E14:E20)</f>
        <v>1</v>
      </c>
      <c r="F22" s="16">
        <f>+(B22/D22)-1</f>
        <v>0.04369166613770248</v>
      </c>
      <c r="G22" s="14">
        <f>SUM(G14:G20)</f>
        <v>3424224</v>
      </c>
      <c r="H22" s="14">
        <f>SUM(H14:H20)</f>
        <v>3450080</v>
      </c>
      <c r="I22" s="15">
        <f>+(G22/H22)-1</f>
        <v>-0.007494318972313674</v>
      </c>
    </row>
    <row r="23" spans="1:9" ht="15">
      <c r="A23" s="11"/>
      <c r="B23" s="11"/>
      <c r="C23" s="11"/>
      <c r="D23" s="11"/>
      <c r="E23" s="11"/>
      <c r="F23" s="11"/>
      <c r="G23" s="11"/>
      <c r="H23" s="11"/>
      <c r="I23" s="11"/>
    </row>
    <row r="24" spans="1:9" ht="12.75" customHeight="1">
      <c r="A24" s="552" t="s">
        <v>869</v>
      </c>
      <c r="B24" s="552"/>
      <c r="C24" s="552"/>
      <c r="D24" s="552"/>
      <c r="E24" s="552"/>
      <c r="F24" s="552"/>
      <c r="G24" s="552"/>
      <c r="H24" s="552"/>
      <c r="I24" s="552"/>
    </row>
    <row r="25" spans="1:9" ht="12.75" customHeight="1">
      <c r="A25" s="187"/>
      <c r="B25" s="187"/>
      <c r="C25" s="187"/>
      <c r="D25" s="187"/>
      <c r="E25" s="187"/>
      <c r="F25" s="187"/>
      <c r="G25" s="187"/>
      <c r="H25" s="187"/>
      <c r="I25" s="187"/>
    </row>
    <row r="26" spans="1:9" ht="15">
      <c r="A26" s="7"/>
      <c r="B26" s="527" t="s">
        <v>662</v>
      </c>
      <c r="C26" s="527"/>
      <c r="D26" s="527"/>
      <c r="E26" s="527"/>
      <c r="F26" s="527"/>
      <c r="G26" s="553" t="s">
        <v>622</v>
      </c>
      <c r="H26" s="554"/>
      <c r="I26" s="554"/>
    </row>
    <row r="27" spans="1:9" ht="15" customHeight="1">
      <c r="A27" s="9"/>
      <c r="B27" s="170" t="s">
        <v>979</v>
      </c>
      <c r="C27" s="8" t="s">
        <v>665</v>
      </c>
      <c r="D27" s="8" t="s">
        <v>921</v>
      </c>
      <c r="E27" s="8" t="s">
        <v>665</v>
      </c>
      <c r="F27" s="8" t="s">
        <v>883</v>
      </c>
      <c r="G27" s="553"/>
      <c r="H27" s="554"/>
      <c r="I27" s="554"/>
    </row>
    <row r="28" spans="1:9" ht="26.25">
      <c r="A28" s="178" t="s">
        <v>955</v>
      </c>
      <c r="B28" s="219">
        <f>221244+70715</f>
        <v>291959</v>
      </c>
      <c r="C28" s="180">
        <v>1</v>
      </c>
      <c r="D28" s="179">
        <v>281203</v>
      </c>
      <c r="E28" s="180">
        <v>1</v>
      </c>
      <c r="F28" s="181">
        <f>(B28-D28)/D28</f>
        <v>0.03824994754679004</v>
      </c>
      <c r="G28" s="553"/>
      <c r="H28" s="554"/>
      <c r="I28" s="554"/>
    </row>
    <row r="29" spans="1:9" ht="6" customHeight="1">
      <c r="A29" s="519"/>
      <c r="B29" s="555"/>
      <c r="C29" s="555"/>
      <c r="D29" s="555"/>
      <c r="E29" s="555"/>
      <c r="F29" s="555"/>
      <c r="G29" s="555"/>
      <c r="H29" s="555"/>
      <c r="I29" s="555"/>
    </row>
    <row r="30" spans="1:9" ht="37.5" customHeight="1">
      <c r="A30" s="552" t="s">
        <v>621</v>
      </c>
      <c r="B30" s="519"/>
      <c r="C30" s="519"/>
      <c r="D30" s="519"/>
      <c r="E30" s="519"/>
      <c r="F30" s="519"/>
      <c r="G30" s="519"/>
      <c r="H30" s="519"/>
      <c r="I30" s="519"/>
    </row>
    <row r="31" spans="1:9" ht="6" customHeight="1">
      <c r="A31" s="187"/>
      <c r="B31" s="186"/>
      <c r="C31" s="186"/>
      <c r="D31" s="186"/>
      <c r="E31" s="186"/>
      <c r="F31" s="186"/>
      <c r="G31" s="186"/>
      <c r="H31" s="186"/>
      <c r="I31" s="186"/>
    </row>
    <row r="32" spans="2:3" ht="12.75">
      <c r="B32" t="s">
        <v>738</v>
      </c>
      <c r="C32" t="s">
        <v>737</v>
      </c>
    </row>
    <row r="33" spans="1:3" ht="12.75">
      <c r="A33" s="37">
        <v>1981</v>
      </c>
      <c r="B33" s="38" t="s">
        <v>711</v>
      </c>
      <c r="C33" s="38">
        <v>1400</v>
      </c>
    </row>
    <row r="34" spans="1:3" ht="12.75">
      <c r="A34" s="37">
        <v>1982</v>
      </c>
      <c r="B34" s="38">
        <v>1060</v>
      </c>
      <c r="C34" s="38">
        <v>1440</v>
      </c>
    </row>
    <row r="35" spans="1:3" ht="12.75">
      <c r="A35" s="37">
        <v>1983</v>
      </c>
      <c r="B35" s="38">
        <v>1229.877</v>
      </c>
      <c r="C35" s="38">
        <v>1620</v>
      </c>
    </row>
    <row r="36" spans="1:3" ht="12.75">
      <c r="A36" s="37">
        <v>1984</v>
      </c>
      <c r="B36" s="38">
        <v>1360</v>
      </c>
      <c r="C36" s="38">
        <v>1930.353</v>
      </c>
    </row>
    <row r="37" spans="1:3" ht="12.75">
      <c r="A37" s="37">
        <v>1985</v>
      </c>
      <c r="B37" s="38">
        <v>1558.194</v>
      </c>
      <c r="C37" s="38">
        <v>2283.83</v>
      </c>
    </row>
    <row r="38" spans="1:3" ht="12.75">
      <c r="A38" s="37">
        <v>1986</v>
      </c>
      <c r="B38" s="38">
        <v>1774.057</v>
      </c>
      <c r="C38" s="38">
        <v>2591.484</v>
      </c>
    </row>
    <row r="39" spans="1:3" ht="12.75">
      <c r="A39" s="37">
        <v>1987</v>
      </c>
      <c r="B39" s="38">
        <v>2023.739</v>
      </c>
      <c r="C39" s="38">
        <v>2890.68</v>
      </c>
    </row>
    <row r="40" spans="1:3" ht="12.75">
      <c r="A40" s="37">
        <v>1988</v>
      </c>
      <c r="B40" s="38">
        <v>2167.568</v>
      </c>
      <c r="C40" s="38">
        <v>3183.002</v>
      </c>
    </row>
    <row r="41" spans="1:3" ht="12.75">
      <c r="A41" s="37">
        <v>1989</v>
      </c>
      <c r="B41" s="38">
        <v>2267.622</v>
      </c>
      <c r="C41" s="38">
        <v>3470.845</v>
      </c>
    </row>
    <row r="42" spans="1:3" ht="12.75">
      <c r="A42" s="37">
        <v>1990</v>
      </c>
      <c r="B42" s="38">
        <v>2289.254</v>
      </c>
      <c r="C42" s="38">
        <v>3739.542</v>
      </c>
    </row>
    <row r="43" spans="1:3" ht="12.75">
      <c r="A43" s="37">
        <v>1991</v>
      </c>
      <c r="B43" s="38">
        <v>2486.813</v>
      </c>
      <c r="C43" s="38">
        <v>4109.184</v>
      </c>
    </row>
    <row r="44" spans="1:3" ht="12.75">
      <c r="A44" s="37">
        <v>1992</v>
      </c>
      <c r="B44" s="38">
        <v>2695.58</v>
      </c>
      <c r="C44" s="38">
        <v>4434.795</v>
      </c>
    </row>
    <row r="45" spans="1:3" ht="12.75">
      <c r="A45" s="37">
        <v>1993</v>
      </c>
      <c r="B45" s="38">
        <v>2792.118</v>
      </c>
      <c r="C45" s="38">
        <v>4708.84</v>
      </c>
    </row>
    <row r="46" spans="1:3" ht="12.75">
      <c r="A46" s="37">
        <v>1994</v>
      </c>
      <c r="B46" s="38">
        <v>2879.637</v>
      </c>
      <c r="C46" s="38">
        <v>5014.444</v>
      </c>
    </row>
    <row r="47" spans="1:3" ht="12.75">
      <c r="A47" s="37">
        <v>1995</v>
      </c>
      <c r="B47" s="38">
        <v>2961.928</v>
      </c>
      <c r="C47" s="38">
        <v>5320.913</v>
      </c>
    </row>
    <row r="48" spans="1:3" ht="12.75">
      <c r="A48" s="37">
        <v>1996</v>
      </c>
      <c r="B48" s="38">
        <v>3121.139</v>
      </c>
      <c r="C48" s="38">
        <v>5571.482</v>
      </c>
    </row>
    <row r="49" spans="1:3" ht="12.75">
      <c r="A49" s="37">
        <v>1997</v>
      </c>
      <c r="B49" s="38">
        <v>3296.361</v>
      </c>
      <c r="C49" s="38">
        <v>5780.4</v>
      </c>
    </row>
    <row r="50" spans="1:3" ht="12.75">
      <c r="A50" s="37">
        <v>1998</v>
      </c>
      <c r="B50" s="38">
        <v>3149.755</v>
      </c>
      <c r="C50" s="38">
        <v>5966.143</v>
      </c>
    </row>
    <row r="51" spans="1:3" ht="12.75">
      <c r="A51" s="37">
        <v>1999</v>
      </c>
      <c r="B51" s="38">
        <v>3262.269</v>
      </c>
      <c r="C51" s="38">
        <v>6105.731</v>
      </c>
    </row>
    <row r="52" spans="1:3" ht="12.75">
      <c r="A52" s="89">
        <v>2000</v>
      </c>
      <c r="B52" s="38">
        <v>3196.991</v>
      </c>
      <c r="C52" s="38">
        <v>6280.191</v>
      </c>
    </row>
    <row r="53" spans="1:3" ht="12.75">
      <c r="A53" s="89">
        <v>2001</v>
      </c>
      <c r="B53" s="38">
        <v>3450.08</v>
      </c>
      <c r="C53" s="38">
        <v>6427.656</v>
      </c>
    </row>
    <row r="54" spans="1:3" ht="12.75">
      <c r="A54" s="89">
        <v>2002</v>
      </c>
      <c r="B54" s="38">
        <f>+G22/1000</f>
        <v>3424.224</v>
      </c>
      <c r="C54" s="38">
        <f>+B22/1000</f>
        <v>6708.491</v>
      </c>
    </row>
  </sheetData>
  <mergeCells count="11">
    <mergeCell ref="B26:F26"/>
    <mergeCell ref="A30:I30"/>
    <mergeCell ref="G26:I28"/>
    <mergeCell ref="A29:I29"/>
    <mergeCell ref="A5:I5"/>
    <mergeCell ref="A7:I7"/>
    <mergeCell ref="A8:I8"/>
    <mergeCell ref="A24:I24"/>
    <mergeCell ref="B11:F11"/>
    <mergeCell ref="G11:I11"/>
    <mergeCell ref="A6:I6"/>
  </mergeCells>
  <printOptions horizontalCentered="1"/>
  <pageMargins left="0.75" right="0.75" top="1" bottom="1" header="0" footer="0"/>
  <pageSetup horizontalDpi="300" verticalDpi="300" orientation="portrait" scale="90" r:id="rId2"/>
  <headerFooter alignWithMargins="0">
    <oddFooter>&amp;C29</oddFooter>
  </headerFooter>
  <drawing r:id="rId1"/>
</worksheet>
</file>

<file path=xl/worksheets/sheet16.xml><?xml version="1.0" encoding="utf-8"?>
<worksheet xmlns="http://schemas.openxmlformats.org/spreadsheetml/2006/main" xmlns:r="http://schemas.openxmlformats.org/officeDocument/2006/relationships">
  <dimension ref="A1:P61"/>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 min="9" max="9" width="11.140625" style="0" bestFit="1" customWidth="1"/>
    <col min="10" max="10" width="12.8515625" style="0" bestFit="1" customWidth="1"/>
    <col min="11" max="11" width="13.7109375" style="0" bestFit="1" customWidth="1"/>
    <col min="12" max="13" width="12.7109375" style="0" bestFit="1" customWidth="1"/>
    <col min="14" max="14" width="13.7109375" style="0" bestFit="1"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717</v>
      </c>
      <c r="B5" s="523"/>
      <c r="C5" s="523"/>
      <c r="D5" s="523"/>
      <c r="E5" s="523"/>
      <c r="F5" s="524"/>
    </row>
    <row r="6" spans="1:6" ht="18.75" thickBot="1">
      <c r="A6" s="516" t="s">
        <v>905</v>
      </c>
      <c r="B6" s="517"/>
      <c r="C6" s="517"/>
      <c r="D6" s="517"/>
      <c r="E6" s="517"/>
      <c r="F6" s="518"/>
    </row>
    <row r="7" spans="1:6" ht="15.75">
      <c r="A7" s="510" t="s">
        <v>980</v>
      </c>
      <c r="B7" s="510"/>
      <c r="C7" s="510"/>
      <c r="D7" s="510"/>
      <c r="E7" s="510"/>
      <c r="F7" s="510"/>
    </row>
    <row r="8" spans="1:6" ht="15.75">
      <c r="A8" s="511" t="s">
        <v>981</v>
      </c>
      <c r="B8" s="511"/>
      <c r="C8" s="511"/>
      <c r="D8" s="511"/>
      <c r="E8" s="511"/>
      <c r="F8" s="511"/>
    </row>
    <row r="9" spans="1:6" ht="15">
      <c r="A9" s="22"/>
      <c r="B9" s="2"/>
      <c r="C9" s="2"/>
      <c r="D9" s="2"/>
      <c r="E9" s="5"/>
      <c r="F9" s="5"/>
    </row>
    <row r="10" spans="1:6" ht="7.5" customHeight="1">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15" ht="15">
      <c r="A13" s="9"/>
      <c r="B13" s="122" t="s">
        <v>979</v>
      </c>
      <c r="C13" s="9" t="s">
        <v>716</v>
      </c>
      <c r="D13" s="26" t="s">
        <v>921</v>
      </c>
      <c r="E13" s="9" t="s">
        <v>716</v>
      </c>
      <c r="F13" s="26"/>
      <c r="I13" s="215" t="s">
        <v>1004</v>
      </c>
      <c r="J13" s="215" t="s">
        <v>1005</v>
      </c>
      <c r="K13" s="215" t="s">
        <v>1006</v>
      </c>
      <c r="L13" s="215" t="s">
        <v>1007</v>
      </c>
      <c r="M13" s="215" t="s">
        <v>1008</v>
      </c>
      <c r="N13" s="215" t="s">
        <v>1009</v>
      </c>
      <c r="O13" s="215" t="s">
        <v>1009</v>
      </c>
    </row>
    <row r="14" spans="1:16" ht="9.75" customHeight="1">
      <c r="A14" s="5" t="s">
        <v>686</v>
      </c>
      <c r="B14" s="19"/>
      <c r="C14" s="20"/>
      <c r="D14" s="19"/>
      <c r="E14" s="20"/>
      <c r="F14" s="20"/>
      <c r="N14" s="216" t="s">
        <v>902</v>
      </c>
      <c r="O14" s="216" t="s">
        <v>1010</v>
      </c>
      <c r="P14" s="217">
        <v>712.38</v>
      </c>
    </row>
    <row r="15" spans="1:16" ht="15">
      <c r="A15" s="5" t="s">
        <v>680</v>
      </c>
      <c r="B15" s="11">
        <v>5538050</v>
      </c>
      <c r="C15" s="12">
        <f>+B15/$B$23</f>
        <v>0.15593433472419047</v>
      </c>
      <c r="D15" s="11">
        <v>5310240</v>
      </c>
      <c r="E15" s="12">
        <f>+D15/$D$23</f>
        <v>0.15961967146886746</v>
      </c>
      <c r="F15" s="12">
        <f>+(B15-D15)/D15</f>
        <v>0.04290013257404562</v>
      </c>
      <c r="I15" s="36">
        <v>54862893.88</v>
      </c>
      <c r="J15" s="36">
        <v>354419856.256</v>
      </c>
      <c r="K15" s="36">
        <v>2677436398.49</v>
      </c>
      <c r="L15" s="36">
        <v>449827683.433</v>
      </c>
      <c r="M15" s="36">
        <v>393202181.931</v>
      </c>
      <c r="N15" s="36">
        <f aca="true" t="shared" si="0" ref="N15:N21">SUM(I15:M15)</f>
        <v>3929749013.99</v>
      </c>
      <c r="O15" s="36">
        <f aca="true" t="shared" si="1" ref="O15:O21">+N15/$P$14</f>
        <v>5516366.284833937</v>
      </c>
      <c r="P15" s="36"/>
    </row>
    <row r="16" spans="1:16" ht="15">
      <c r="A16" s="5" t="s">
        <v>681</v>
      </c>
      <c r="B16" s="11">
        <v>8373250</v>
      </c>
      <c r="C16" s="12">
        <f aca="true" t="shared" si="2" ref="C16:C21">+B16/$B$23</f>
        <v>0.23576478511918958</v>
      </c>
      <c r="D16" s="11">
        <v>7567020</v>
      </c>
      <c r="E16" s="12">
        <f aca="true" t="shared" si="3" ref="E16:E21">+D16/$D$23</f>
        <v>0.22745586760642633</v>
      </c>
      <c r="F16" s="12">
        <f aca="true" t="shared" si="4" ref="F16:F23">+(B16-D16)/D16</f>
        <v>0.10654524502380065</v>
      </c>
      <c r="I16" s="36">
        <v>101130111.809</v>
      </c>
      <c r="J16" s="36">
        <v>713717527.661</v>
      </c>
      <c r="K16" s="36">
        <v>4055337029.373</v>
      </c>
      <c r="L16" s="36">
        <v>630461532.801</v>
      </c>
      <c r="M16" s="36">
        <v>449799485.924</v>
      </c>
      <c r="N16" s="36">
        <f t="shared" si="0"/>
        <v>5950445687.568</v>
      </c>
      <c r="O16" s="36">
        <f t="shared" si="1"/>
        <v>8352909.525208456</v>
      </c>
      <c r="P16" s="36"/>
    </row>
    <row r="17" spans="1:16" ht="15">
      <c r="A17" s="5" t="s">
        <v>850</v>
      </c>
      <c r="B17" s="11">
        <v>959780</v>
      </c>
      <c r="C17" s="12">
        <f t="shared" si="2"/>
        <v>0.027024432025998957</v>
      </c>
      <c r="D17" s="11">
        <v>926330</v>
      </c>
      <c r="E17" s="12">
        <f t="shared" si="3"/>
        <v>0.027844408213518784</v>
      </c>
      <c r="F17" s="12">
        <f t="shared" si="4"/>
        <v>0.036110241490613496</v>
      </c>
      <c r="I17" s="36">
        <v>6712190.308</v>
      </c>
      <c r="J17" s="36">
        <v>47786388.705</v>
      </c>
      <c r="K17" s="36">
        <v>469938897.815</v>
      </c>
      <c r="L17" s="36">
        <v>96184987.235</v>
      </c>
      <c r="M17" s="36">
        <v>61742155.136</v>
      </c>
      <c r="N17" s="36">
        <f t="shared" si="0"/>
        <v>682364619.199</v>
      </c>
      <c r="O17" s="36">
        <f t="shared" si="1"/>
        <v>957866.053509363</v>
      </c>
      <c r="P17" s="36"/>
    </row>
    <row r="18" spans="1:16" ht="15">
      <c r="A18" s="5" t="s">
        <v>682</v>
      </c>
      <c r="B18" s="11">
        <v>973810</v>
      </c>
      <c r="C18" s="12">
        <f t="shared" si="2"/>
        <v>0.027419473370186964</v>
      </c>
      <c r="D18" s="11">
        <v>915360</v>
      </c>
      <c r="E18" s="12">
        <f t="shared" si="3"/>
        <v>0.02751466270370878</v>
      </c>
      <c r="F18" s="12">
        <f t="shared" si="4"/>
        <v>0.06385465827652509</v>
      </c>
      <c r="I18" s="36">
        <v>4822155.522</v>
      </c>
      <c r="J18" s="36">
        <v>65972432.23</v>
      </c>
      <c r="K18" s="36">
        <v>531047486.86</v>
      </c>
      <c r="L18" s="36">
        <v>76674934.404</v>
      </c>
      <c r="M18" s="36">
        <v>13346305.721</v>
      </c>
      <c r="N18" s="36">
        <f t="shared" si="0"/>
        <v>691863314.737</v>
      </c>
      <c r="O18" s="36">
        <f t="shared" si="1"/>
        <v>971199.8017027429</v>
      </c>
      <c r="P18" s="36"/>
    </row>
    <row r="19" spans="1:16" ht="15">
      <c r="A19" s="5" t="s">
        <v>789</v>
      </c>
      <c r="B19" s="11">
        <v>11168940</v>
      </c>
      <c r="C19" s="12">
        <f t="shared" si="2"/>
        <v>0.31448275629046324</v>
      </c>
      <c r="D19" s="11">
        <v>10595510</v>
      </c>
      <c r="E19" s="12">
        <f t="shared" si="3"/>
        <v>0.31848877362324485</v>
      </c>
      <c r="F19" s="12">
        <f t="shared" si="4"/>
        <v>0.0541200942663449</v>
      </c>
      <c r="I19" s="36">
        <v>89089458.183</v>
      </c>
      <c r="J19" s="36">
        <v>930362411.718</v>
      </c>
      <c r="K19" s="36">
        <v>5798431639.4</v>
      </c>
      <c r="L19" s="36">
        <v>803249821.494</v>
      </c>
      <c r="M19" s="36">
        <v>312993911.025</v>
      </c>
      <c r="N19" s="36">
        <f t="shared" si="0"/>
        <v>7934127241.82</v>
      </c>
      <c r="O19" s="36">
        <f t="shared" si="1"/>
        <v>11137492.969791403</v>
      </c>
      <c r="P19" s="36"/>
    </row>
    <row r="20" spans="1:16" ht="15">
      <c r="A20" s="5" t="s">
        <v>683</v>
      </c>
      <c r="B20" s="11">
        <v>4552000</v>
      </c>
      <c r="C20" s="12">
        <f t="shared" si="2"/>
        <v>0.12817022086556007</v>
      </c>
      <c r="D20" s="11">
        <v>4287540</v>
      </c>
      <c r="E20" s="12">
        <f t="shared" si="3"/>
        <v>0.1288784925369904</v>
      </c>
      <c r="F20" s="12">
        <f t="shared" si="4"/>
        <v>0.06168105720296487</v>
      </c>
      <c r="I20" s="36">
        <v>34364170.324</v>
      </c>
      <c r="J20" s="36">
        <v>333989448.449</v>
      </c>
      <c r="K20" s="36">
        <v>2395961270.472</v>
      </c>
      <c r="L20" s="36">
        <v>342887230.504</v>
      </c>
      <c r="M20" s="36">
        <v>124349784.642</v>
      </c>
      <c r="N20" s="36">
        <f t="shared" si="0"/>
        <v>3231551904.3910003</v>
      </c>
      <c r="O20" s="36">
        <f t="shared" si="1"/>
        <v>4536275.449045453</v>
      </c>
      <c r="P20" s="36"/>
    </row>
    <row r="21" spans="1:16" ht="15">
      <c r="A21" s="5" t="s">
        <v>684</v>
      </c>
      <c r="B21" s="11">
        <v>3949440</v>
      </c>
      <c r="C21" s="12">
        <f t="shared" si="2"/>
        <v>0.11120399760441073</v>
      </c>
      <c r="D21" s="11">
        <v>3666080</v>
      </c>
      <c r="E21" s="12">
        <f t="shared" si="3"/>
        <v>0.11019812384724337</v>
      </c>
      <c r="F21" s="12">
        <f t="shared" si="4"/>
        <v>0.07729236677868459</v>
      </c>
      <c r="I21" s="36">
        <v>57002088.352</v>
      </c>
      <c r="J21" s="36">
        <v>351904131.322</v>
      </c>
      <c r="K21" s="36">
        <v>2016894754.319</v>
      </c>
      <c r="L21" s="36">
        <v>281405127.337</v>
      </c>
      <c r="M21" s="36">
        <v>99750218.557</v>
      </c>
      <c r="N21" s="36">
        <f t="shared" si="0"/>
        <v>2806956319.887</v>
      </c>
      <c r="O21" s="36">
        <f t="shared" si="1"/>
        <v>3940251.438680199</v>
      </c>
      <c r="P21" s="36"/>
    </row>
    <row r="22" spans="1:6" ht="9.75" customHeight="1">
      <c r="A22" s="5" t="s">
        <v>686</v>
      </c>
      <c r="B22" s="19"/>
      <c r="C22" s="12"/>
      <c r="D22" s="123"/>
      <c r="E22" s="12"/>
      <c r="F22" s="12"/>
    </row>
    <row r="23" spans="1:16" ht="14.25">
      <c r="A23" s="13" t="s">
        <v>674</v>
      </c>
      <c r="B23" s="21">
        <f>SUM(B15:B22)</f>
        <v>35515270</v>
      </c>
      <c r="C23" s="16">
        <f>SUM(C15:C22)</f>
        <v>1</v>
      </c>
      <c r="D23" s="121">
        <f>SUM(D15:D21)</f>
        <v>33268080</v>
      </c>
      <c r="E23" s="16">
        <f>SUM(E15:E21)</f>
        <v>1</v>
      </c>
      <c r="F23" s="138">
        <f t="shared" si="4"/>
        <v>0.06754793183135306</v>
      </c>
      <c r="I23" s="36">
        <f aca="true" t="shared" si="5" ref="I23:O23">SUM(I15:I22)</f>
        <v>347983068.378</v>
      </c>
      <c r="J23" s="36">
        <f t="shared" si="5"/>
        <v>2798152196.341</v>
      </c>
      <c r="K23" s="36">
        <f t="shared" si="5"/>
        <v>17945047476.729</v>
      </c>
      <c r="L23" s="36">
        <f t="shared" si="5"/>
        <v>2680691317.2079997</v>
      </c>
      <c r="M23" s="36">
        <f t="shared" si="5"/>
        <v>1455184042.9359999</v>
      </c>
      <c r="N23" s="36">
        <f t="shared" si="5"/>
        <v>25227058101.591995</v>
      </c>
      <c r="O23" s="36">
        <f t="shared" si="5"/>
        <v>35412361.52277155</v>
      </c>
      <c r="P23" s="36"/>
    </row>
    <row r="24" spans="1:14" ht="9" customHeight="1">
      <c r="A24" s="5" t="s">
        <v>686</v>
      </c>
      <c r="B24" s="19"/>
      <c r="C24" s="20"/>
      <c r="D24" s="19"/>
      <c r="E24" s="20"/>
      <c r="F24" s="20"/>
      <c r="N24" s="36"/>
    </row>
    <row r="25" spans="1:6" ht="12.75">
      <c r="A25" s="71" t="s">
        <v>792</v>
      </c>
      <c r="B25" s="18"/>
      <c r="C25" s="18"/>
      <c r="D25" s="18"/>
      <c r="E25" s="18"/>
      <c r="F25" s="18"/>
    </row>
    <row r="26" spans="1:12" ht="12.75">
      <c r="A26" s="66" t="s">
        <v>1015</v>
      </c>
      <c r="B26" s="66"/>
      <c r="C26" s="66"/>
      <c r="D26" s="66"/>
      <c r="E26" s="133"/>
      <c r="F26" s="66"/>
      <c r="I26" s="36"/>
      <c r="J26" s="36"/>
      <c r="K26" s="36"/>
      <c r="L26" s="36"/>
    </row>
    <row r="27" spans="1:6" ht="12.75">
      <c r="A27" s="66" t="s">
        <v>1039</v>
      </c>
      <c r="B27" s="66"/>
      <c r="C27" s="66"/>
      <c r="D27" s="66"/>
      <c r="E27" s="133"/>
      <c r="F27" s="66"/>
    </row>
    <row r="28" spans="1:6" ht="49.5" customHeight="1">
      <c r="A28" s="520" t="s">
        <v>1040</v>
      </c>
      <c r="B28" s="555"/>
      <c r="C28" s="555"/>
      <c r="D28" s="555"/>
      <c r="E28" s="555"/>
      <c r="F28" s="555"/>
    </row>
    <row r="29" spans="1:6" ht="25.5" customHeight="1">
      <c r="A29" s="556" t="s">
        <v>1041</v>
      </c>
      <c r="B29" s="556"/>
      <c r="C29" s="556"/>
      <c r="D29" s="556"/>
      <c r="E29" s="556"/>
      <c r="F29" s="556"/>
    </row>
    <row r="30" spans="1:10" ht="14.25">
      <c r="A30" s="7"/>
      <c r="B30" s="7" t="s">
        <v>735</v>
      </c>
      <c r="C30" s="7" t="s">
        <v>712</v>
      </c>
      <c r="D30" s="7" t="s">
        <v>735</v>
      </c>
      <c r="E30" s="7" t="s">
        <v>712</v>
      </c>
      <c r="F30" s="7" t="s">
        <v>713</v>
      </c>
      <c r="I30" t="s">
        <v>629</v>
      </c>
      <c r="J30" t="s">
        <v>630</v>
      </c>
    </row>
    <row r="31" spans="1:10" ht="15">
      <c r="A31" s="23"/>
      <c r="B31" s="23" t="s">
        <v>736</v>
      </c>
      <c r="C31" s="24" t="s">
        <v>715</v>
      </c>
      <c r="D31" s="23" t="s">
        <v>736</v>
      </c>
      <c r="E31" s="24" t="s">
        <v>715</v>
      </c>
      <c r="F31" s="159" t="s">
        <v>884</v>
      </c>
      <c r="I31" t="s">
        <v>882</v>
      </c>
      <c r="J31">
        <v>2400</v>
      </c>
    </row>
    <row r="32" spans="1:6" ht="15">
      <c r="A32" s="9"/>
      <c r="B32" s="25" t="s">
        <v>979</v>
      </c>
      <c r="C32" s="9" t="s">
        <v>716</v>
      </c>
      <c r="D32" s="218" t="s">
        <v>921</v>
      </c>
      <c r="E32" s="9" t="s">
        <v>716</v>
      </c>
      <c r="F32" s="26"/>
    </row>
    <row r="33" spans="1:6" ht="26.25">
      <c r="A33" s="178" t="s">
        <v>955</v>
      </c>
      <c r="B33" s="179">
        <f>247000+177000</f>
        <v>424000</v>
      </c>
      <c r="C33" s="180">
        <v>1</v>
      </c>
      <c r="D33" s="219" t="s">
        <v>772</v>
      </c>
      <c r="E33" s="219" t="s">
        <v>772</v>
      </c>
      <c r="F33" s="219" t="s">
        <v>772</v>
      </c>
    </row>
    <row r="34" spans="1:6" ht="7.5" customHeight="1">
      <c r="A34" s="192"/>
      <c r="B34" s="193"/>
      <c r="C34" s="194"/>
      <c r="D34" s="193"/>
      <c r="E34" s="194"/>
      <c r="F34" s="12"/>
    </row>
    <row r="35" spans="1:6" ht="27" customHeight="1">
      <c r="A35" s="552" t="s">
        <v>619</v>
      </c>
      <c r="B35" s="552"/>
      <c r="C35" s="552"/>
      <c r="D35" s="552"/>
      <c r="E35" s="552"/>
      <c r="F35" s="552"/>
    </row>
    <row r="36" spans="1:6" ht="38.25" customHeight="1">
      <c r="A36" s="552" t="s">
        <v>620</v>
      </c>
      <c r="B36" s="552"/>
      <c r="C36" s="552"/>
      <c r="D36" s="552"/>
      <c r="E36" s="552"/>
      <c r="F36" s="552"/>
    </row>
    <row r="39" ht="12.75">
      <c r="B39" t="s">
        <v>740</v>
      </c>
    </row>
    <row r="40" spans="1:2" ht="12.75">
      <c r="A40" s="37">
        <v>81</v>
      </c>
      <c r="B40" s="39">
        <v>299.88</v>
      </c>
    </row>
    <row r="41" spans="1:2" ht="12.75">
      <c r="A41" s="37">
        <v>82</v>
      </c>
      <c r="B41" s="39">
        <v>605.94</v>
      </c>
    </row>
    <row r="42" spans="1:2" ht="12.75">
      <c r="A42" s="37">
        <v>83</v>
      </c>
      <c r="B42" s="39">
        <v>1136.33</v>
      </c>
    </row>
    <row r="43" spans="1:2" ht="12.75">
      <c r="A43" s="37">
        <v>84</v>
      </c>
      <c r="B43" s="39">
        <v>1244.36</v>
      </c>
    </row>
    <row r="44" spans="1:2" ht="12.75">
      <c r="A44" s="37">
        <v>85</v>
      </c>
      <c r="B44" s="39">
        <v>1532.73</v>
      </c>
    </row>
    <row r="45" spans="1:2" ht="12.75">
      <c r="A45" s="37">
        <v>86</v>
      </c>
      <c r="B45" s="39">
        <v>2116.82</v>
      </c>
    </row>
    <row r="46" spans="1:2" ht="12.75">
      <c r="A46" s="37">
        <v>87</v>
      </c>
      <c r="B46" s="39">
        <v>2707.69</v>
      </c>
    </row>
    <row r="47" spans="1:2" ht="12.75">
      <c r="A47" s="37">
        <v>88</v>
      </c>
      <c r="B47" s="39">
        <v>3583.64</v>
      </c>
    </row>
    <row r="48" spans="1:2" ht="12.75">
      <c r="A48" s="37">
        <v>89</v>
      </c>
      <c r="B48" s="39">
        <v>4470.08</v>
      </c>
    </row>
    <row r="49" spans="1:2" ht="12.75">
      <c r="A49" s="37">
        <v>90</v>
      </c>
      <c r="B49" s="39">
        <v>6658.4</v>
      </c>
    </row>
    <row r="50" spans="1:2" ht="12.75">
      <c r="A50" s="37">
        <v>91</v>
      </c>
      <c r="B50" s="39">
        <v>10064.47</v>
      </c>
    </row>
    <row r="51" spans="1:2" ht="12.75">
      <c r="A51" s="37">
        <v>92</v>
      </c>
      <c r="B51" s="39">
        <v>12395.22</v>
      </c>
    </row>
    <row r="52" spans="1:2" ht="12.75">
      <c r="A52" s="37">
        <v>93</v>
      </c>
      <c r="B52" s="39">
        <v>15942.28</v>
      </c>
    </row>
    <row r="53" spans="1:2" ht="12.75">
      <c r="A53" s="37">
        <v>94</v>
      </c>
      <c r="B53" s="39">
        <v>22296.14</v>
      </c>
    </row>
    <row r="54" spans="1:2" ht="12.75">
      <c r="A54" s="37">
        <v>95</v>
      </c>
      <c r="B54" s="39">
        <v>25143.13</v>
      </c>
    </row>
    <row r="55" spans="1:2" ht="12.75">
      <c r="A55" s="37">
        <v>96</v>
      </c>
      <c r="B55" s="39">
        <v>27198.04</v>
      </c>
    </row>
    <row r="56" spans="1:2" ht="12.75">
      <c r="A56" s="37">
        <v>97</v>
      </c>
      <c r="B56" s="39">
        <v>30524.67</v>
      </c>
    </row>
    <row r="57" spans="1:2" ht="12.75">
      <c r="A57" s="37">
        <v>98</v>
      </c>
      <c r="B57" s="40">
        <v>30804.91</v>
      </c>
    </row>
    <row r="58" spans="1:2" ht="12.75">
      <c r="A58" s="37">
        <v>99</v>
      </c>
      <c r="B58" s="41">
        <v>34500.87</v>
      </c>
    </row>
    <row r="59" spans="1:2" ht="12.75">
      <c r="A59" s="88">
        <v>2000</v>
      </c>
      <c r="B59" s="41">
        <v>35886.32</v>
      </c>
    </row>
    <row r="60" spans="1:2" ht="12.75">
      <c r="A60" s="88">
        <v>2001</v>
      </c>
      <c r="B60" s="41">
        <v>35460.77</v>
      </c>
    </row>
    <row r="61" spans="1:2" ht="12.75">
      <c r="A61" s="88">
        <v>2002</v>
      </c>
      <c r="B61" s="41">
        <f>+B23/1000</f>
        <v>35515.27</v>
      </c>
    </row>
  </sheetData>
  <mergeCells count="8">
    <mergeCell ref="A35:F35"/>
    <mergeCell ref="A36:F36"/>
    <mergeCell ref="A29:F29"/>
    <mergeCell ref="A5:F5"/>
    <mergeCell ref="A7:F7"/>
    <mergeCell ref="A8:F8"/>
    <mergeCell ref="A28:F28"/>
    <mergeCell ref="A6:F6"/>
  </mergeCells>
  <printOptions horizontalCentered="1"/>
  <pageMargins left="0.75" right="0.75" top="1" bottom="1" header="0" footer="0"/>
  <pageSetup horizontalDpi="300" verticalDpi="300" orientation="portrait" scale="90" r:id="rId2"/>
  <headerFooter alignWithMargins="0">
    <oddFooter>&amp;C30</oddFooter>
  </headerFooter>
  <drawing r:id="rId1"/>
</worksheet>
</file>

<file path=xl/worksheets/sheet17.xml><?xml version="1.0" encoding="utf-8"?>
<worksheet xmlns="http://schemas.openxmlformats.org/spreadsheetml/2006/main" xmlns:r="http://schemas.openxmlformats.org/officeDocument/2006/relationships">
  <dimension ref="A1:F38"/>
  <sheetViews>
    <sheetView workbookViewId="0" topLeftCell="A1">
      <selection activeCell="A5" sqref="A5:F5"/>
    </sheetView>
  </sheetViews>
  <sheetFormatPr defaultColWidth="11.421875" defaultRowHeight="12.75"/>
  <cols>
    <col min="1" max="1" width="25.8515625" style="0" customWidth="1"/>
    <col min="2" max="2" width="17.8515625" style="0" customWidth="1"/>
    <col min="3" max="3" width="14.28125" style="0" customWidth="1"/>
    <col min="4" max="4" width="17.8515625" style="0" customWidth="1"/>
    <col min="5" max="5" width="14.140625" style="0" customWidth="1"/>
    <col min="6" max="6" width="14.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692</v>
      </c>
      <c r="B5" s="523"/>
      <c r="C5" s="523"/>
      <c r="D5" s="523"/>
      <c r="E5" s="523"/>
      <c r="F5" s="524"/>
    </row>
    <row r="6" spans="1:6" ht="18.75" thickBot="1">
      <c r="A6" s="516" t="s">
        <v>906</v>
      </c>
      <c r="B6" s="517"/>
      <c r="C6" s="517"/>
      <c r="D6" s="517"/>
      <c r="E6" s="517"/>
      <c r="F6" s="518"/>
    </row>
    <row r="7" spans="1:6" ht="15.75">
      <c r="A7" s="525" t="s">
        <v>984</v>
      </c>
      <c r="B7" s="525"/>
      <c r="C7" s="525"/>
      <c r="D7" s="525"/>
      <c r="E7" s="525"/>
      <c r="F7" s="525"/>
    </row>
    <row r="8" spans="1:6" ht="15.75">
      <c r="A8" s="526" t="s">
        <v>985</v>
      </c>
      <c r="B8" s="526"/>
      <c r="C8" s="526"/>
      <c r="D8" s="526"/>
      <c r="E8" s="526"/>
      <c r="F8" s="526"/>
    </row>
    <row r="9" spans="1:6" ht="15.75">
      <c r="A9" s="6"/>
      <c r="B9" s="5"/>
      <c r="C9" s="5"/>
      <c r="D9" s="5"/>
      <c r="E9" s="5"/>
      <c r="F9" s="5"/>
    </row>
    <row r="10" spans="1:6" ht="15">
      <c r="A10" s="2"/>
      <c r="B10" s="5"/>
      <c r="C10" s="5"/>
      <c r="D10" s="5"/>
      <c r="E10" s="5"/>
      <c r="F10" s="5"/>
    </row>
    <row r="11" spans="1:6" ht="15">
      <c r="A11" s="7" t="s">
        <v>693</v>
      </c>
      <c r="B11" s="527" t="s">
        <v>662</v>
      </c>
      <c r="C11" s="527"/>
      <c r="D11" s="527"/>
      <c r="E11" s="527"/>
      <c r="F11" s="527"/>
    </row>
    <row r="12" spans="1:6" ht="15">
      <c r="A12" s="9" t="s">
        <v>694</v>
      </c>
      <c r="B12" s="10" t="s">
        <v>979</v>
      </c>
      <c r="C12" s="8" t="s">
        <v>665</v>
      </c>
      <c r="D12" s="8" t="s">
        <v>921</v>
      </c>
      <c r="E12" s="8" t="s">
        <v>665</v>
      </c>
      <c r="F12" s="8" t="s">
        <v>883</v>
      </c>
    </row>
    <row r="13" spans="1:6" ht="15">
      <c r="A13" s="5"/>
      <c r="B13" s="11"/>
      <c r="C13" s="12"/>
      <c r="D13" s="11"/>
      <c r="E13" s="12"/>
      <c r="F13" s="12"/>
    </row>
    <row r="14" spans="1:6" ht="15">
      <c r="A14" s="5" t="s">
        <v>825</v>
      </c>
      <c r="B14" s="11" t="s">
        <v>772</v>
      </c>
      <c r="C14" s="11" t="s">
        <v>772</v>
      </c>
      <c r="D14" s="11">
        <v>1221</v>
      </c>
      <c r="E14" s="12">
        <f aca="true" t="shared" si="0" ref="E14:E20">+D14/$D$22</f>
        <v>0.005392109237685588</v>
      </c>
      <c r="F14" s="11" t="s">
        <v>772</v>
      </c>
    </row>
    <row r="15" spans="1:6" ht="15">
      <c r="A15" s="5" t="s">
        <v>826</v>
      </c>
      <c r="B15" s="11" t="s">
        <v>772</v>
      </c>
      <c r="C15" s="11" t="s">
        <v>772</v>
      </c>
      <c r="D15" s="11">
        <v>910</v>
      </c>
      <c r="E15" s="12">
        <f t="shared" si="0"/>
        <v>0.004018689112443805</v>
      </c>
      <c r="F15" s="11" t="s">
        <v>772</v>
      </c>
    </row>
    <row r="16" spans="1:6" ht="15">
      <c r="A16" s="5" t="s">
        <v>827</v>
      </c>
      <c r="B16" s="119">
        <v>214228</v>
      </c>
      <c r="C16" s="12">
        <f>+B16/$B$22</f>
        <v>0.9024001887126261</v>
      </c>
      <c r="D16" s="119">
        <v>203169</v>
      </c>
      <c r="E16" s="12">
        <f t="shared" si="0"/>
        <v>0.8972231299847202</v>
      </c>
      <c r="F16" s="12">
        <f>+(B16-D16)/D16</f>
        <v>0.05443251677175159</v>
      </c>
    </row>
    <row r="17" spans="1:6" ht="15">
      <c r="A17" s="5" t="s">
        <v>1051</v>
      </c>
      <c r="B17" s="11">
        <v>13441</v>
      </c>
      <c r="C17" s="12">
        <f>+B17/$B$22</f>
        <v>0.056618000151644074</v>
      </c>
      <c r="D17" s="11">
        <v>12449</v>
      </c>
      <c r="E17" s="12">
        <f t="shared" si="0"/>
        <v>0.054976550286607605</v>
      </c>
      <c r="F17" s="12">
        <f>+(B17-D17)/D17</f>
        <v>0.07968511527030284</v>
      </c>
    </row>
    <row r="18" spans="1:6" ht="15">
      <c r="A18" s="5" t="s">
        <v>1052</v>
      </c>
      <c r="B18" s="11">
        <v>355</v>
      </c>
      <c r="C18" s="12">
        <f>+B18/$B$22</f>
        <v>0.0014953790680629154</v>
      </c>
      <c r="D18" s="11">
        <v>347</v>
      </c>
      <c r="E18" s="12">
        <f t="shared" si="0"/>
        <v>0.0015324012329868133</v>
      </c>
      <c r="F18" s="12">
        <f>+(B18-D18)/D18</f>
        <v>0.023054755043227664</v>
      </c>
    </row>
    <row r="19" spans="1:6" ht="15">
      <c r="A19" s="5" t="s">
        <v>816</v>
      </c>
      <c r="B19" s="11">
        <v>7993</v>
      </c>
      <c r="C19" s="12">
        <f>+B19/$B$22</f>
        <v>0.03366919687613207</v>
      </c>
      <c r="D19" s="11">
        <f>7113+80</f>
        <v>7193</v>
      </c>
      <c r="E19" s="12">
        <f t="shared" si="0"/>
        <v>0.03176530855583328</v>
      </c>
      <c r="F19" s="12">
        <f>+(B19-D19)/D19</f>
        <v>0.11121924092868066</v>
      </c>
    </row>
    <row r="20" spans="1:6" ht="15">
      <c r="A20" s="5" t="s">
        <v>817</v>
      </c>
      <c r="B20" s="11">
        <v>1381</v>
      </c>
      <c r="C20" s="12">
        <f>+B20/$B$22</f>
        <v>0.005817235191534891</v>
      </c>
      <c r="D20" s="11">
        <v>1153</v>
      </c>
      <c r="E20" s="12">
        <f t="shared" si="0"/>
        <v>0.005091811589722755</v>
      </c>
      <c r="F20" s="12">
        <f>+(B20-D20)/D20</f>
        <v>0.19774501300954034</v>
      </c>
    </row>
    <row r="21" spans="1:6" ht="15">
      <c r="A21" s="5"/>
      <c r="B21" s="11"/>
      <c r="C21" s="12"/>
      <c r="D21" s="11"/>
      <c r="E21" s="12"/>
      <c r="F21" s="12"/>
    </row>
    <row r="22" spans="1:6" ht="14.25">
      <c r="A22" s="13" t="s">
        <v>674</v>
      </c>
      <c r="B22" s="14">
        <f>SUM(B14:B21)</f>
        <v>237398</v>
      </c>
      <c r="C22" s="15">
        <f>SUM(C14:C21)</f>
        <v>1</v>
      </c>
      <c r="D22" s="14">
        <f>SUM(D14:D21)</f>
        <v>226442</v>
      </c>
      <c r="E22" s="15">
        <f>SUM(E14:E21)</f>
        <v>1</v>
      </c>
      <c r="F22" s="16">
        <f>+(B22/D22)-1</f>
        <v>0.0483832504570707</v>
      </c>
    </row>
    <row r="23" spans="1:6" ht="9" customHeight="1">
      <c r="A23" s="11"/>
      <c r="B23" s="11"/>
      <c r="C23" s="11"/>
      <c r="D23" s="11"/>
      <c r="E23" s="11"/>
      <c r="F23" s="11"/>
    </row>
    <row r="24" spans="1:6" ht="15">
      <c r="A24" s="69" t="s">
        <v>776</v>
      </c>
      <c r="B24" s="11"/>
      <c r="C24" s="11"/>
      <c r="D24" s="11"/>
      <c r="E24" s="11"/>
      <c r="F24" s="11"/>
    </row>
    <row r="25" spans="1:6" ht="15">
      <c r="A25" s="70" t="s">
        <v>777</v>
      </c>
      <c r="B25" s="11"/>
      <c r="C25" s="11"/>
      <c r="D25" s="11"/>
      <c r="E25" s="11"/>
      <c r="F25" s="11"/>
    </row>
    <row r="26" spans="1:6" ht="15">
      <c r="A26" s="223" t="s">
        <v>1158</v>
      </c>
      <c r="B26" s="11"/>
      <c r="C26" s="11"/>
      <c r="D26" s="11"/>
      <c r="E26" s="11"/>
      <c r="F26" s="11"/>
    </row>
    <row r="27" spans="1:6" ht="39" customHeight="1">
      <c r="A27" s="557" t="s">
        <v>1160</v>
      </c>
      <c r="B27" s="558"/>
      <c r="C27" s="558"/>
      <c r="D27" s="558"/>
      <c r="E27" s="558"/>
      <c r="F27" s="558"/>
    </row>
    <row r="28" spans="1:6" ht="11.25" customHeight="1">
      <c r="A28" s="184"/>
      <c r="B28" s="185"/>
      <c r="C28" s="185"/>
      <c r="D28" s="185"/>
      <c r="E28" s="185"/>
      <c r="F28" s="185"/>
    </row>
    <row r="29" spans="1:6" ht="12.75">
      <c r="A29" s="1"/>
      <c r="B29" s="1"/>
      <c r="C29" s="1"/>
      <c r="D29" s="18"/>
      <c r="E29" s="18"/>
      <c r="F29" s="18"/>
    </row>
    <row r="30" ht="12.75">
      <c r="B30" s="42" t="s">
        <v>737</v>
      </c>
    </row>
    <row r="31" spans="1:2" ht="12.75">
      <c r="A31">
        <v>1995</v>
      </c>
      <c r="B31" s="36">
        <v>29.574</v>
      </c>
    </row>
    <row r="32" spans="1:2" ht="12.75">
      <c r="A32">
        <v>1996</v>
      </c>
      <c r="B32" s="36">
        <v>46.212</v>
      </c>
    </row>
    <row r="33" spans="1:2" ht="12.75">
      <c r="A33">
        <v>1997</v>
      </c>
      <c r="B33" s="36">
        <v>83.679</v>
      </c>
    </row>
    <row r="34" spans="1:2" ht="12.75">
      <c r="A34">
        <v>1998</v>
      </c>
      <c r="B34" s="36">
        <v>108.097</v>
      </c>
    </row>
    <row r="35" spans="1:2" ht="12.75">
      <c r="A35">
        <v>1999</v>
      </c>
      <c r="B35" s="36">
        <v>120.055</v>
      </c>
    </row>
    <row r="36" spans="1:2" ht="12.75">
      <c r="A36" s="80">
        <v>2000</v>
      </c>
      <c r="B36" s="36">
        <v>119.31</v>
      </c>
    </row>
    <row r="37" spans="1:2" ht="12.75">
      <c r="A37" s="80">
        <v>2001</v>
      </c>
      <c r="B37" s="36">
        <v>226.442</v>
      </c>
    </row>
    <row r="38" spans="1:2" ht="12.75">
      <c r="A38" s="80">
        <v>2002</v>
      </c>
      <c r="B38" s="36">
        <f>+B22/1000</f>
        <v>237.398</v>
      </c>
    </row>
  </sheetData>
  <mergeCells count="6">
    <mergeCell ref="A27:F27"/>
    <mergeCell ref="A5:F5"/>
    <mergeCell ref="A7:F7"/>
    <mergeCell ref="A8:F8"/>
    <mergeCell ref="B11:F11"/>
    <mergeCell ref="A6:F6"/>
  </mergeCells>
  <printOptions horizontalCentered="1"/>
  <pageMargins left="0.75" right="0.75" top="1" bottom="1" header="0" footer="0"/>
  <pageSetup horizontalDpi="300" verticalDpi="300" orientation="portrait" scale="90" r:id="rId2"/>
  <headerFooter alignWithMargins="0">
    <oddFooter>&amp;C31</oddFooter>
  </headerFooter>
  <drawing r:id="rId1"/>
</worksheet>
</file>

<file path=xl/worksheets/sheet18.xml><?xml version="1.0" encoding="utf-8"?>
<worksheet xmlns="http://schemas.openxmlformats.org/spreadsheetml/2006/main" xmlns:r="http://schemas.openxmlformats.org/officeDocument/2006/relationships">
  <dimension ref="A1:L42"/>
  <sheetViews>
    <sheetView workbookViewId="0" topLeftCell="A1">
      <selection activeCell="A5" sqref="A5:F5"/>
    </sheetView>
  </sheetViews>
  <sheetFormatPr defaultColWidth="11.421875" defaultRowHeight="12.75"/>
  <cols>
    <col min="1" max="1" width="25.8515625" style="0" customWidth="1"/>
    <col min="2" max="2" width="17.8515625" style="0" customWidth="1"/>
    <col min="3" max="3" width="14.28125" style="0" customWidth="1"/>
    <col min="4" max="4" width="17.8515625" style="0" customWidth="1"/>
    <col min="5" max="6" width="14.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692</v>
      </c>
      <c r="B5" s="523"/>
      <c r="C5" s="523"/>
      <c r="D5" s="523"/>
      <c r="E5" s="523"/>
      <c r="F5" s="524"/>
    </row>
    <row r="6" spans="1:6" ht="18.75" thickBot="1">
      <c r="A6" s="516" t="s">
        <v>906</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19"/>
      <c r="C14" s="20"/>
      <c r="D14" s="19"/>
      <c r="E14" s="20"/>
      <c r="F14" s="20"/>
    </row>
    <row r="15" spans="1:6" ht="15">
      <c r="A15" s="5" t="s">
        <v>825</v>
      </c>
      <c r="B15" s="11" t="s">
        <v>772</v>
      </c>
      <c r="C15" s="11" t="s">
        <v>772</v>
      </c>
      <c r="D15" s="11">
        <v>811</v>
      </c>
      <c r="E15" s="12">
        <f aca="true" t="shared" si="0" ref="E15:E20">+D15/$D$23</f>
        <v>0.060389229807974905</v>
      </c>
      <c r="F15" s="11" t="s">
        <v>772</v>
      </c>
    </row>
    <row r="16" spans="1:6" ht="15">
      <c r="A16" s="5" t="s">
        <v>826</v>
      </c>
      <c r="B16" s="11" t="s">
        <v>772</v>
      </c>
      <c r="C16" s="11" t="s">
        <v>772</v>
      </c>
      <c r="D16" s="11">
        <v>107</v>
      </c>
      <c r="E16" s="12">
        <f t="shared" si="0"/>
        <v>0.007967506275528132</v>
      </c>
      <c r="F16" s="11" t="s">
        <v>772</v>
      </c>
    </row>
    <row r="17" spans="1:6" ht="15">
      <c r="A17" s="5" t="s">
        <v>827</v>
      </c>
      <c r="B17" s="11">
        <v>11048.287</v>
      </c>
      <c r="C17" s="12">
        <f>+B17/$B$23</f>
        <v>0.774492423763934</v>
      </c>
      <c r="D17" s="11">
        <v>9164.547</v>
      </c>
      <c r="E17" s="12">
        <f t="shared" si="0"/>
        <v>0.6824166891109581</v>
      </c>
      <c r="F17" s="12">
        <f>+(B17-D17)/D17</f>
        <v>0.20554643890199917</v>
      </c>
    </row>
    <row r="18" spans="1:6" ht="15">
      <c r="A18" s="5" t="s">
        <v>1051</v>
      </c>
      <c r="B18" s="119">
        <v>1166</v>
      </c>
      <c r="C18" s="12">
        <f>+B18/$B$23</f>
        <v>0.08173739205985028</v>
      </c>
      <c r="D18" s="11">
        <v>942</v>
      </c>
      <c r="E18" s="12">
        <f t="shared" si="0"/>
        <v>0.07014384029483645</v>
      </c>
      <c r="F18" s="12">
        <f>+(B18-D18)/D18</f>
        <v>0.23779193205944799</v>
      </c>
    </row>
    <row r="19" spans="1:6" ht="15">
      <c r="A19" s="5" t="s">
        <v>1052</v>
      </c>
      <c r="B19" s="119">
        <v>460</v>
      </c>
      <c r="C19" s="12">
        <f>+B19/$B$23</f>
        <v>0.03224631247644179</v>
      </c>
      <c r="D19" s="11">
        <v>443</v>
      </c>
      <c r="E19" s="12">
        <f t="shared" si="0"/>
        <v>0.03298696523419591</v>
      </c>
      <c r="F19" s="12">
        <f>+(B19-D19)/D19</f>
        <v>0.03837471783295711</v>
      </c>
    </row>
    <row r="20" spans="1:6" ht="15">
      <c r="A20" s="5" t="s">
        <v>816</v>
      </c>
      <c r="B20" s="119">
        <v>958.91</v>
      </c>
      <c r="C20" s="12">
        <f>+B20/$B$23</f>
        <v>0.06722024238431477</v>
      </c>
      <c r="D20" s="11">
        <f>955+666</f>
        <v>1621</v>
      </c>
      <c r="E20" s="12">
        <f t="shared" si="0"/>
        <v>0.12070399694047759</v>
      </c>
      <c r="F20" s="12">
        <f>+(B20-D20)/D20</f>
        <v>-0.40844540407156077</v>
      </c>
    </row>
    <row r="21" spans="1:6" ht="15">
      <c r="A21" s="5" t="s">
        <v>817</v>
      </c>
      <c r="B21" s="119">
        <v>632</v>
      </c>
      <c r="C21" s="12">
        <f>+B21/$B$23</f>
        <v>0.044303629315459156</v>
      </c>
      <c r="D21" s="11">
        <v>341</v>
      </c>
      <c r="E21" s="12">
        <f>+D21/$D$23</f>
        <v>0.025391772336028906</v>
      </c>
      <c r="F21" s="12">
        <f>+(B21-D21)/D21</f>
        <v>0.8533724340175953</v>
      </c>
    </row>
    <row r="22" spans="1:6" ht="15">
      <c r="A22" s="5" t="s">
        <v>686</v>
      </c>
      <c r="B22" s="11"/>
      <c r="C22" s="12"/>
      <c r="D22" s="11"/>
      <c r="E22" s="12"/>
      <c r="F22" s="12"/>
    </row>
    <row r="23" spans="1:6" ht="14.25">
      <c r="A23" s="13" t="s">
        <v>674</v>
      </c>
      <c r="B23" s="21">
        <f>SUM(B15:B22)</f>
        <v>14265.197</v>
      </c>
      <c r="C23" s="16">
        <f>SUM(C15:C22)</f>
        <v>1</v>
      </c>
      <c r="D23" s="21">
        <f>SUM(D15:D22)</f>
        <v>13429.547</v>
      </c>
      <c r="E23" s="16">
        <f>SUM(E15:E22)</f>
        <v>1</v>
      </c>
      <c r="F23" s="16">
        <f>+(B23/D23)-1</f>
        <v>0.06222473475836532</v>
      </c>
    </row>
    <row r="24" spans="1:6" ht="15">
      <c r="A24" s="5" t="s">
        <v>686</v>
      </c>
      <c r="B24" s="11"/>
      <c r="C24" s="12"/>
      <c r="D24" s="11"/>
      <c r="E24" s="12"/>
      <c r="F24" s="12"/>
    </row>
    <row r="25" spans="1:6" ht="12.75">
      <c r="A25" s="69" t="s">
        <v>776</v>
      </c>
      <c r="B25" s="18"/>
      <c r="C25" s="18"/>
      <c r="D25" s="18"/>
      <c r="E25" s="18"/>
      <c r="F25" s="18"/>
    </row>
    <row r="26" spans="1:6" ht="12.75">
      <c r="A26" s="70" t="s">
        <v>777</v>
      </c>
      <c r="B26" s="18"/>
      <c r="C26" s="18"/>
      <c r="D26" s="18"/>
      <c r="E26" s="18"/>
      <c r="F26" s="18"/>
    </row>
    <row r="27" spans="1:12" ht="12.75">
      <c r="A27" s="66" t="s">
        <v>967</v>
      </c>
      <c r="B27" s="66"/>
      <c r="C27" s="66"/>
      <c r="D27" s="66"/>
      <c r="E27" s="133"/>
      <c r="F27" s="66"/>
      <c r="I27" s="36"/>
      <c r="J27" s="36"/>
      <c r="K27" s="36"/>
      <c r="L27" s="36"/>
    </row>
    <row r="28" spans="1:6" ht="12.75">
      <c r="A28" s="66" t="s">
        <v>968</v>
      </c>
      <c r="B28" s="66"/>
      <c r="C28" s="66"/>
      <c r="D28" s="66"/>
      <c r="E28" s="133"/>
      <c r="F28" s="66"/>
    </row>
    <row r="29" spans="1:6" ht="38.25" customHeight="1">
      <c r="A29" s="557" t="s">
        <v>1159</v>
      </c>
      <c r="B29" s="558"/>
      <c r="C29" s="558"/>
      <c r="D29" s="558"/>
      <c r="E29" s="558"/>
      <c r="F29" s="558"/>
    </row>
    <row r="30" spans="1:6" ht="25.5" customHeight="1">
      <c r="A30" s="519"/>
      <c r="B30" s="555"/>
      <c r="C30" s="555"/>
      <c r="D30" s="555"/>
      <c r="E30" s="555"/>
      <c r="F30" s="555"/>
    </row>
    <row r="31" spans="1:6" ht="12.75">
      <c r="A31" s="72"/>
      <c r="B31" s="18"/>
      <c r="C31" s="18"/>
      <c r="D31" s="18"/>
      <c r="E31" s="18"/>
      <c r="F31" s="18"/>
    </row>
    <row r="32" spans="1:6" ht="12.75">
      <c r="A32" s="72"/>
      <c r="B32" s="18"/>
      <c r="C32" s="18"/>
      <c r="D32" s="18"/>
      <c r="E32" s="18"/>
      <c r="F32" s="18"/>
    </row>
    <row r="33" spans="1:6" ht="12.75">
      <c r="A33" s="18"/>
      <c r="B33" s="18"/>
      <c r="C33" s="18"/>
      <c r="D33" s="18"/>
      <c r="E33" s="18"/>
      <c r="F33" s="18"/>
    </row>
    <row r="34" spans="1:6" ht="12.75">
      <c r="A34" s="18"/>
      <c r="B34" s="18" t="s">
        <v>739</v>
      </c>
      <c r="C34" s="18"/>
      <c r="D34" s="18"/>
      <c r="E34" s="18"/>
      <c r="F34" s="18"/>
    </row>
    <row r="35" spans="1:2" ht="12.75">
      <c r="A35">
        <v>1995</v>
      </c>
      <c r="B35" s="36">
        <v>2403</v>
      </c>
    </row>
    <row r="36" spans="1:2" ht="12.75">
      <c r="A36">
        <v>1996</v>
      </c>
      <c r="B36" s="36">
        <v>14020</v>
      </c>
    </row>
    <row r="37" spans="1:2" ht="12.75">
      <c r="A37">
        <v>1997</v>
      </c>
      <c r="B37" s="36">
        <v>29983</v>
      </c>
    </row>
    <row r="38" spans="1:2" ht="12.75">
      <c r="A38">
        <v>1998</v>
      </c>
      <c r="B38" s="36">
        <v>30214</v>
      </c>
    </row>
    <row r="39" spans="1:2" ht="12.75">
      <c r="A39">
        <v>1999</v>
      </c>
      <c r="B39" s="36">
        <v>17367</v>
      </c>
    </row>
    <row r="40" spans="1:2" ht="12.75">
      <c r="A40" s="80">
        <v>2000</v>
      </c>
      <c r="B40" s="36">
        <v>12492</v>
      </c>
    </row>
    <row r="41" spans="1:2" ht="12.75">
      <c r="A41" s="80">
        <v>2001</v>
      </c>
      <c r="B41" s="36">
        <v>13430</v>
      </c>
    </row>
    <row r="42" spans="1:2" ht="12.75">
      <c r="A42" s="80">
        <v>2002</v>
      </c>
      <c r="B42" s="36">
        <f>+B23</f>
        <v>14265.197</v>
      </c>
    </row>
  </sheetData>
  <mergeCells count="6">
    <mergeCell ref="A5:F5"/>
    <mergeCell ref="A7:F7"/>
    <mergeCell ref="A8:F8"/>
    <mergeCell ref="A30:F30"/>
    <mergeCell ref="A29:F29"/>
    <mergeCell ref="A6:F6"/>
  </mergeCells>
  <printOptions horizontalCentered="1"/>
  <pageMargins left="0.75" right="0.75" top="1" bottom="1" header="0" footer="0"/>
  <pageSetup horizontalDpi="300" verticalDpi="300" orientation="portrait" scale="90" r:id="rId2"/>
  <headerFooter alignWithMargins="0">
    <oddFooter>&amp;C32</oddFooter>
  </headerFooter>
  <drawing r:id="rId1"/>
</worksheet>
</file>

<file path=xl/worksheets/sheet19.xml><?xml version="1.0" encoding="utf-8"?>
<worksheet xmlns="http://schemas.openxmlformats.org/spreadsheetml/2006/main" xmlns:r="http://schemas.openxmlformats.org/officeDocument/2006/relationships">
  <dimension ref="A1:I29"/>
  <sheetViews>
    <sheetView workbookViewId="0" topLeftCell="A1">
      <selection activeCell="A5" sqref="A5:I5"/>
    </sheetView>
  </sheetViews>
  <sheetFormatPr defaultColWidth="11.421875" defaultRowHeight="12.75"/>
  <cols>
    <col min="1" max="1" width="17.57421875" style="0" customWidth="1"/>
    <col min="3" max="3" width="9.8515625" style="0" bestFit="1" customWidth="1"/>
    <col min="5" max="5" width="9.851562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695</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49" t="s">
        <v>663</v>
      </c>
      <c r="H11" s="550"/>
      <c r="I11" s="551"/>
    </row>
    <row r="12" spans="1:9" ht="15.75" customHeight="1">
      <c r="A12" s="9" t="s">
        <v>664</v>
      </c>
      <c r="B12" s="10" t="s">
        <v>979</v>
      </c>
      <c r="C12" s="8" t="s">
        <v>665</v>
      </c>
      <c r="D12" s="8" t="s">
        <v>921</v>
      </c>
      <c r="E12" s="8" t="s">
        <v>665</v>
      </c>
      <c r="F12" s="8" t="s">
        <v>883</v>
      </c>
      <c r="G12" s="10" t="s">
        <v>979</v>
      </c>
      <c r="H12" s="8" t="s">
        <v>921</v>
      </c>
      <c r="I12" s="8" t="s">
        <v>883</v>
      </c>
    </row>
    <row r="13" spans="1:9" ht="15">
      <c r="A13" s="5"/>
      <c r="B13" s="119"/>
      <c r="C13" s="12"/>
      <c r="D13" s="11"/>
      <c r="E13" s="12"/>
      <c r="F13" s="12"/>
      <c r="G13" s="119"/>
      <c r="H13" s="11"/>
      <c r="I13" s="11"/>
    </row>
    <row r="14" spans="1:9" ht="15">
      <c r="A14" s="5" t="s">
        <v>696</v>
      </c>
      <c r="B14" s="120">
        <v>429849</v>
      </c>
      <c r="C14" s="12">
        <f>+B14/$B$18</f>
        <v>0.4329558914772407</v>
      </c>
      <c r="D14" s="120">
        <v>392032</v>
      </c>
      <c r="E14" s="12">
        <f>+D14/D18</f>
        <v>0.4262120775599176</v>
      </c>
      <c r="F14" s="12">
        <f>+(B14-D14)/D14</f>
        <v>0.09646406415802791</v>
      </c>
      <c r="G14" s="119">
        <v>204876</v>
      </c>
      <c r="H14" s="119">
        <v>233615</v>
      </c>
      <c r="I14" s="12">
        <f>+(G14-H14)/H14</f>
        <v>-0.1230186417824198</v>
      </c>
    </row>
    <row r="15" spans="1:9" ht="15">
      <c r="A15" s="5" t="s">
        <v>851</v>
      </c>
      <c r="B15" s="120">
        <v>546197</v>
      </c>
      <c r="C15" s="12">
        <f>+B15/$B$18</f>
        <v>0.5501448393672997</v>
      </c>
      <c r="D15" s="120">
        <v>507600</v>
      </c>
      <c r="E15" s="12">
        <f>+D15/D18</f>
        <v>0.5518560999342252</v>
      </c>
      <c r="F15" s="12">
        <f>+(B15-D15)/D15</f>
        <v>0.07603821907013396</v>
      </c>
      <c r="G15" s="119">
        <v>265919</v>
      </c>
      <c r="H15" s="119">
        <v>256794</v>
      </c>
      <c r="I15" s="12">
        <f>+(G15-H15)/H15</f>
        <v>0.03553431933767923</v>
      </c>
    </row>
    <row r="16" spans="1:9" ht="15">
      <c r="A16" s="5" t="s">
        <v>697</v>
      </c>
      <c r="B16" s="120">
        <v>16778</v>
      </c>
      <c r="C16" s="12">
        <f>+B16/$B$18</f>
        <v>0.016899269155459577</v>
      </c>
      <c r="D16" s="120">
        <v>20173</v>
      </c>
      <c r="E16" s="12">
        <f>+D16/D18</f>
        <v>0.02193182250585722</v>
      </c>
      <c r="F16" s="12">
        <f>+(B16-D16)/D16</f>
        <v>-0.16829425469687206</v>
      </c>
      <c r="G16" s="119">
        <v>1302</v>
      </c>
      <c r="H16" s="119">
        <v>1812</v>
      </c>
      <c r="I16" s="12">
        <f>+(G16-H16)/H16</f>
        <v>-0.2814569536423841</v>
      </c>
    </row>
    <row r="17" spans="1:9" ht="15">
      <c r="A17" s="5"/>
      <c r="B17" s="119"/>
      <c r="C17" s="12"/>
      <c r="D17" s="11"/>
      <c r="E17" s="12"/>
      <c r="F17" s="12"/>
      <c r="G17" s="119"/>
      <c r="H17" s="11"/>
      <c r="I17" s="12"/>
    </row>
    <row r="18" spans="1:9" ht="14.25">
      <c r="A18" s="13" t="s">
        <v>674</v>
      </c>
      <c r="B18" s="121">
        <f>SUM(B14:B17)</f>
        <v>992824</v>
      </c>
      <c r="C18" s="15">
        <f>SUM(C14:C17)</f>
        <v>1</v>
      </c>
      <c r="D18" s="14">
        <f>SUM(D14:D17)</f>
        <v>919805</v>
      </c>
      <c r="E18" s="15">
        <f>SUM(E14:E17)</f>
        <v>1</v>
      </c>
      <c r="F18" s="16">
        <f>+(B18-D18)/D18</f>
        <v>0.0793853044938873</v>
      </c>
      <c r="G18" s="121">
        <f>SUM(G14:G17)</f>
        <v>472097</v>
      </c>
      <c r="H18" s="14">
        <f>SUM(H14:H17)</f>
        <v>492221</v>
      </c>
      <c r="I18" s="15">
        <f>+(G18-H18)/H18</f>
        <v>-0.040884074429981654</v>
      </c>
    </row>
    <row r="19" spans="1:9" ht="15">
      <c r="A19" s="11"/>
      <c r="B19" s="11"/>
      <c r="C19" s="11"/>
      <c r="D19" s="11"/>
      <c r="E19" s="11"/>
      <c r="F19" s="11"/>
      <c r="G19" s="11"/>
      <c r="H19" s="11"/>
      <c r="I19" s="11"/>
    </row>
    <row r="20" spans="1:9" ht="15">
      <c r="A20" s="69" t="s">
        <v>807</v>
      </c>
      <c r="B20" s="11"/>
      <c r="C20" s="11"/>
      <c r="D20" s="11"/>
      <c r="E20" s="11"/>
      <c r="F20" s="11"/>
      <c r="G20" s="11"/>
      <c r="H20" s="11"/>
      <c r="I20" s="11"/>
    </row>
    <row r="24" spans="2:3" ht="12.75">
      <c r="B24" t="s">
        <v>737</v>
      </c>
      <c r="C24" t="s">
        <v>738</v>
      </c>
    </row>
    <row r="25" spans="1:5" ht="12.75">
      <c r="A25" s="130">
        <v>1998</v>
      </c>
      <c r="B25" s="36">
        <v>569.972</v>
      </c>
      <c r="C25" s="36">
        <v>383.02</v>
      </c>
      <c r="E25" s="36"/>
    </row>
    <row r="26" spans="1:5" ht="12.75">
      <c r="A26" s="130">
        <v>1999</v>
      </c>
      <c r="B26" s="36">
        <v>736.228</v>
      </c>
      <c r="C26" s="36">
        <v>424.679</v>
      </c>
      <c r="E26" s="36"/>
    </row>
    <row r="27" spans="1:3" ht="12.75">
      <c r="A27" s="130">
        <v>2000</v>
      </c>
      <c r="B27" s="118">
        <v>847.805</v>
      </c>
      <c r="C27" s="118">
        <v>468.237</v>
      </c>
    </row>
    <row r="28" spans="1:3" ht="12.75">
      <c r="A28" s="130">
        <v>2001</v>
      </c>
      <c r="B28" s="118">
        <v>919.805</v>
      </c>
      <c r="C28" s="118">
        <v>492.221</v>
      </c>
    </row>
    <row r="29" spans="1:3" ht="12.75">
      <c r="A29" s="80">
        <v>2002</v>
      </c>
      <c r="B29" s="118">
        <f>+B18/1000</f>
        <v>992.824</v>
      </c>
      <c r="C29" s="118">
        <f>+G18/1000</f>
        <v>472.097</v>
      </c>
    </row>
  </sheetData>
  <mergeCells count="6">
    <mergeCell ref="B11:F11"/>
    <mergeCell ref="G11:I11"/>
    <mergeCell ref="A5:I5"/>
    <mergeCell ref="A7:I7"/>
    <mergeCell ref="A8:I8"/>
    <mergeCell ref="A6:I6"/>
  </mergeCells>
  <printOptions horizontalCentered="1"/>
  <pageMargins left="0.75" right="0.75" top="1" bottom="1" header="0" footer="0"/>
  <pageSetup horizontalDpi="300" verticalDpi="300" orientation="portrait" scale="90" r:id="rId2"/>
  <headerFooter alignWithMargins="0">
    <oddFooter>&amp;C33</oddFooter>
  </headerFooter>
  <drawing r:id="rId1"/>
</worksheet>
</file>

<file path=xl/worksheets/sheet2.xml><?xml version="1.0" encoding="utf-8"?>
<worksheet xmlns="http://schemas.openxmlformats.org/spreadsheetml/2006/main" xmlns:r="http://schemas.openxmlformats.org/officeDocument/2006/relationships">
  <dimension ref="B9:B9"/>
  <sheetViews>
    <sheetView workbookViewId="0" topLeftCell="A1">
      <selection activeCell="B9" sqref="B9"/>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&amp;C16</oddFooter>
  </headerFooter>
</worksheet>
</file>

<file path=xl/worksheets/sheet20.xml><?xml version="1.0" encoding="utf-8"?>
<worksheet xmlns="http://schemas.openxmlformats.org/spreadsheetml/2006/main" xmlns:r="http://schemas.openxmlformats.org/officeDocument/2006/relationships">
  <dimension ref="A1:L33"/>
  <sheetViews>
    <sheetView workbookViewId="0" topLeftCell="A1">
      <selection activeCell="A5" sqref="A5:F5"/>
    </sheetView>
  </sheetViews>
  <sheetFormatPr defaultColWidth="11.421875" defaultRowHeight="12.75"/>
  <cols>
    <col min="1" max="1" width="20.8515625" style="0" customWidth="1"/>
    <col min="2" max="2" width="18.8515625" style="0" bestFit="1" customWidth="1"/>
    <col min="3" max="3" width="15.28125" style="0" customWidth="1"/>
    <col min="4" max="4" width="18.8515625" style="0" bestFit="1" customWidth="1"/>
    <col min="5" max="6" width="15.28125" style="0" customWidth="1"/>
    <col min="8" max="8" width="10.003906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695</v>
      </c>
      <c r="B5" s="523"/>
      <c r="C5" s="523"/>
      <c r="D5" s="523"/>
      <c r="E5" s="523"/>
      <c r="F5" s="524"/>
    </row>
    <row r="6" spans="1:6" ht="18.75" thickBot="1">
      <c r="A6" s="516" t="s">
        <v>905</v>
      </c>
      <c r="B6" s="517"/>
      <c r="C6" s="517"/>
      <c r="D6" s="517"/>
      <c r="E6" s="517"/>
      <c r="F6" s="518"/>
    </row>
    <row r="7" spans="1:9" ht="15.75">
      <c r="A7" s="525" t="s">
        <v>980</v>
      </c>
      <c r="B7" s="525"/>
      <c r="C7" s="525"/>
      <c r="D7" s="525"/>
      <c r="E7" s="525"/>
      <c r="F7" s="525"/>
      <c r="G7" s="109"/>
      <c r="H7" s="109"/>
      <c r="I7" s="109"/>
    </row>
    <row r="8" spans="1:9" ht="15.75">
      <c r="A8" s="526" t="s">
        <v>981</v>
      </c>
      <c r="B8" s="526"/>
      <c r="C8" s="526"/>
      <c r="D8" s="526"/>
      <c r="E8" s="526"/>
      <c r="F8" s="526"/>
      <c r="G8" s="22"/>
      <c r="H8" s="22"/>
      <c r="I8" s="22"/>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9" ht="15">
      <c r="A13" s="9"/>
      <c r="B13" s="25" t="s">
        <v>979</v>
      </c>
      <c r="C13" s="9" t="s">
        <v>716</v>
      </c>
      <c r="D13" s="26" t="s">
        <v>921</v>
      </c>
      <c r="E13" s="9" t="s">
        <v>716</v>
      </c>
      <c r="F13" s="26"/>
      <c r="H13" s="42"/>
      <c r="I13" s="42"/>
    </row>
    <row r="14" spans="1:9" ht="15">
      <c r="A14" s="5" t="s">
        <v>686</v>
      </c>
      <c r="B14" s="19"/>
      <c r="C14" s="20"/>
      <c r="D14" s="19"/>
      <c r="E14" s="20"/>
      <c r="F14" s="20"/>
      <c r="H14" s="42"/>
      <c r="I14" s="42"/>
    </row>
    <row r="15" spans="1:9" ht="15">
      <c r="A15" s="5" t="s">
        <v>696</v>
      </c>
      <c r="B15" s="11">
        <v>558595.944</v>
      </c>
      <c r="C15" s="12">
        <f>+B15/B19</f>
        <v>0.5132758046338688</v>
      </c>
      <c r="D15" s="11">
        <v>394997.465</v>
      </c>
      <c r="E15" s="12">
        <f>+D15/D19</f>
        <v>0.5065900854692472</v>
      </c>
      <c r="F15" s="12">
        <f>+(B15-D15)/D15</f>
        <v>0.414176022623335</v>
      </c>
      <c r="H15" s="42"/>
      <c r="I15" s="44"/>
    </row>
    <row r="16" spans="1:9" ht="15">
      <c r="A16" s="5" t="s">
        <v>852</v>
      </c>
      <c r="B16" s="11">
        <v>525442.879</v>
      </c>
      <c r="C16" s="12">
        <f>+B16/B19</f>
        <v>0.4828125220111901</v>
      </c>
      <c r="D16" s="11">
        <v>379427.952</v>
      </c>
      <c r="E16" s="12">
        <f>+D16/D19</f>
        <v>0.48662195498672733</v>
      </c>
      <c r="F16" s="12">
        <f>+(B16-D16)/D16</f>
        <v>0.38482912560959653</v>
      </c>
      <c r="H16" s="42"/>
      <c r="I16" s="44"/>
    </row>
    <row r="17" spans="1:9" ht="15">
      <c r="A17" s="5" t="s">
        <v>697</v>
      </c>
      <c r="B17" s="11">
        <v>4257.058</v>
      </c>
      <c r="C17" s="12">
        <f>+B17/B19</f>
        <v>0.003911673354941239</v>
      </c>
      <c r="D17" s="11">
        <v>5292.695</v>
      </c>
      <c r="E17" s="12">
        <f>+D17/D19</f>
        <v>0.0067879595440255725</v>
      </c>
      <c r="F17" s="12">
        <f>+(B17-D17)/D17</f>
        <v>-0.19567290387978142</v>
      </c>
      <c r="H17" s="11"/>
      <c r="I17" s="44"/>
    </row>
    <row r="18" spans="1:9" ht="15">
      <c r="A18" s="5" t="s">
        <v>686</v>
      </c>
      <c r="B18" s="11"/>
      <c r="C18" s="12"/>
      <c r="D18" s="11"/>
      <c r="E18" s="12"/>
      <c r="F18" s="12"/>
      <c r="H18" s="43"/>
      <c r="I18" s="42"/>
    </row>
    <row r="19" spans="1:9" ht="14.25">
      <c r="A19" s="13" t="s">
        <v>674</v>
      </c>
      <c r="B19" s="21">
        <f>SUM(B15:B18)</f>
        <v>1088295.8809999998</v>
      </c>
      <c r="C19" s="16">
        <f>SUM(C15:C18)</f>
        <v>1</v>
      </c>
      <c r="D19" s="21">
        <f>SUM(D15:D18)</f>
        <v>779718.112</v>
      </c>
      <c r="E19" s="16">
        <f>SUM(E15:E18)</f>
        <v>1.0000000000000002</v>
      </c>
      <c r="F19" s="16">
        <f>+B19/D19-1</f>
        <v>0.39575554838464466</v>
      </c>
      <c r="H19" s="43"/>
      <c r="I19" s="44"/>
    </row>
    <row r="20" spans="1:6" ht="15">
      <c r="A20" s="5" t="s">
        <v>686</v>
      </c>
      <c r="B20" s="19"/>
      <c r="C20" s="20"/>
      <c r="D20" s="19"/>
      <c r="E20" s="20"/>
      <c r="F20" s="20"/>
    </row>
    <row r="21" spans="1:6" ht="12.75">
      <c r="A21" s="71" t="s">
        <v>807</v>
      </c>
      <c r="B21" s="18"/>
      <c r="C21" s="18"/>
      <c r="D21" s="18"/>
      <c r="E21" s="18"/>
      <c r="F21" s="18"/>
    </row>
    <row r="22" spans="1:12" ht="12.75">
      <c r="A22" s="172" t="s">
        <v>1016</v>
      </c>
      <c r="B22" s="172"/>
      <c r="C22" s="172"/>
      <c r="D22" s="66"/>
      <c r="E22" s="133"/>
      <c r="F22" s="66"/>
      <c r="I22" s="36"/>
      <c r="J22" s="36"/>
      <c r="K22" s="36"/>
      <c r="L22" s="36"/>
    </row>
    <row r="23" spans="1:6" ht="12.75">
      <c r="A23" s="172" t="s">
        <v>1017</v>
      </c>
      <c r="B23" s="172"/>
      <c r="C23" s="172"/>
      <c r="D23" s="66"/>
      <c r="E23" s="133"/>
      <c r="F23" s="66"/>
    </row>
    <row r="24" spans="1:6" ht="12.75">
      <c r="A24" s="68" t="s">
        <v>806</v>
      </c>
      <c r="B24" s="18"/>
      <c r="C24" s="18"/>
      <c r="D24" s="18"/>
      <c r="E24" s="18"/>
      <c r="F24" s="18"/>
    </row>
    <row r="25" spans="1:6" ht="12.75">
      <c r="A25" s="520"/>
      <c r="B25" s="559"/>
      <c r="C25" s="559"/>
      <c r="D25" s="559"/>
      <c r="E25" s="559"/>
      <c r="F25" s="559"/>
    </row>
    <row r="28" ht="12.75">
      <c r="B28" t="s">
        <v>739</v>
      </c>
    </row>
    <row r="29" spans="1:2" ht="12.75">
      <c r="A29" s="130">
        <v>1998</v>
      </c>
      <c r="B29" s="36">
        <v>47.224</v>
      </c>
    </row>
    <row r="30" spans="1:2" ht="12.75">
      <c r="A30" s="130">
        <v>1999</v>
      </c>
      <c r="B30" s="36">
        <v>213.079</v>
      </c>
    </row>
    <row r="31" spans="1:2" ht="12.75">
      <c r="A31" s="130">
        <v>2000</v>
      </c>
      <c r="B31" s="36">
        <v>482.231</v>
      </c>
    </row>
    <row r="32" spans="1:2" ht="12.75">
      <c r="A32" s="130">
        <v>2001</v>
      </c>
      <c r="B32" s="36">
        <v>779.718</v>
      </c>
    </row>
    <row r="33" spans="1:2" ht="12.75">
      <c r="A33" s="80">
        <v>2002</v>
      </c>
      <c r="B33" s="36">
        <f>+B19/1000</f>
        <v>1088.2958809999998</v>
      </c>
    </row>
  </sheetData>
  <mergeCells count="5">
    <mergeCell ref="A5:F5"/>
    <mergeCell ref="A25:F2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&amp;C34</oddFooter>
  </headerFooter>
  <drawing r:id="rId1"/>
</worksheet>
</file>

<file path=xl/worksheets/sheet21.xml><?xml version="1.0" encoding="utf-8"?>
<worksheet xmlns="http://schemas.openxmlformats.org/spreadsheetml/2006/main" xmlns:r="http://schemas.openxmlformats.org/officeDocument/2006/relationships">
  <dimension ref="A1:J43"/>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699</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28" t="s">
        <v>663</v>
      </c>
      <c r="H11" s="514"/>
      <c r="I11" s="515"/>
    </row>
    <row r="12" spans="1:9" ht="15">
      <c r="A12" s="9" t="s">
        <v>664</v>
      </c>
      <c r="B12" s="10" t="s">
        <v>979</v>
      </c>
      <c r="C12" s="8" t="s">
        <v>665</v>
      </c>
      <c r="D12" s="8" t="s">
        <v>921</v>
      </c>
      <c r="E12" s="8" t="s">
        <v>665</v>
      </c>
      <c r="F12" s="8" t="s">
        <v>883</v>
      </c>
      <c r="G12" s="10" t="s">
        <v>979</v>
      </c>
      <c r="H12" s="8" t="s">
        <v>921</v>
      </c>
      <c r="I12" s="8" t="s">
        <v>883</v>
      </c>
    </row>
    <row r="13" spans="1:9" ht="15">
      <c r="A13" s="5"/>
      <c r="B13" s="11"/>
      <c r="C13" s="12"/>
      <c r="D13" s="11"/>
      <c r="E13" s="12"/>
      <c r="F13" s="12"/>
      <c r="G13" s="11"/>
      <c r="H13" s="11"/>
      <c r="I13" s="11"/>
    </row>
    <row r="14" spans="1:10" ht="15">
      <c r="A14" s="5" t="s">
        <v>1018</v>
      </c>
      <c r="B14" s="11">
        <v>1259795</v>
      </c>
      <c r="C14" s="12">
        <f aca="true" t="shared" si="0" ref="C14:C24">B14/$B$26</f>
        <v>0.04281929065984456</v>
      </c>
      <c r="D14" s="11">
        <v>1282854</v>
      </c>
      <c r="E14" s="12">
        <f aca="true" t="shared" si="1" ref="E14:E24">D14/$D$26</f>
        <v>0.0483757510878995</v>
      </c>
      <c r="F14" s="12">
        <f>(B14-D14)/D14</f>
        <v>-0.01797476563973765</v>
      </c>
      <c r="G14" s="11">
        <v>423710</v>
      </c>
      <c r="H14" s="11">
        <v>475259</v>
      </c>
      <c r="I14" s="12">
        <f>(+G14-H14)/H14</f>
        <v>-0.10846506852053302</v>
      </c>
      <c r="J14" s="20"/>
    </row>
    <row r="15" spans="1:10" ht="15">
      <c r="A15" s="5" t="s">
        <v>1019</v>
      </c>
      <c r="B15" s="11">
        <v>5269868</v>
      </c>
      <c r="C15" s="12">
        <f t="shared" si="0"/>
        <v>0.17911803875314136</v>
      </c>
      <c r="D15" s="11">
        <f>2640629+2221535</f>
        <v>4862164</v>
      </c>
      <c r="E15" s="12">
        <f t="shared" si="1"/>
        <v>0.1833496527372139</v>
      </c>
      <c r="F15" s="12">
        <f aca="true" t="shared" si="2" ref="F15:F24">(B15-D15)/D15</f>
        <v>0.08385237519754578</v>
      </c>
      <c r="G15" s="11">
        <v>2729152</v>
      </c>
      <c r="H15" s="11">
        <f>2695288</f>
        <v>2695288</v>
      </c>
      <c r="I15" s="12">
        <f>(+G15-H15)/H15</f>
        <v>0.012564148988902114</v>
      </c>
      <c r="J15" s="20"/>
    </row>
    <row r="16" spans="1:10" ht="15">
      <c r="A16" s="5" t="s">
        <v>800</v>
      </c>
      <c r="B16" s="11">
        <v>4353848</v>
      </c>
      <c r="C16" s="12">
        <f t="shared" si="0"/>
        <v>0.14798334887881195</v>
      </c>
      <c r="D16" s="11">
        <v>3740168</v>
      </c>
      <c r="E16" s="12">
        <f t="shared" si="1"/>
        <v>0.1410397724097418</v>
      </c>
      <c r="F16" s="12">
        <f t="shared" si="2"/>
        <v>0.16407819114007713</v>
      </c>
      <c r="G16" s="11">
        <v>2162190</v>
      </c>
      <c r="H16" s="11">
        <v>2059510</v>
      </c>
      <c r="I16" s="12">
        <f aca="true" t="shared" si="3" ref="I16:I26">(+G16-H16)/H16</f>
        <v>0.04985651926914655</v>
      </c>
      <c r="J16" s="20"/>
    </row>
    <row r="17" spans="1:10" ht="15">
      <c r="A17" s="5" t="s">
        <v>700</v>
      </c>
      <c r="B17" s="11">
        <v>2610791</v>
      </c>
      <c r="C17" s="12">
        <f t="shared" si="0"/>
        <v>0.08873842068043311</v>
      </c>
      <c r="D17" s="11">
        <v>2400764</v>
      </c>
      <c r="E17" s="12">
        <f t="shared" si="1"/>
        <v>0.09053155049973728</v>
      </c>
      <c r="F17" s="12">
        <f t="shared" si="2"/>
        <v>0.08748340111731098</v>
      </c>
      <c r="G17" s="11">
        <v>1021802</v>
      </c>
      <c r="H17" s="11">
        <v>978196</v>
      </c>
      <c r="I17" s="12">
        <f t="shared" si="3"/>
        <v>0.04457797823749024</v>
      </c>
      <c r="J17" s="20"/>
    </row>
    <row r="18" spans="1:10" ht="15">
      <c r="A18" s="5" t="s">
        <v>701</v>
      </c>
      <c r="B18" s="11">
        <v>1933297</v>
      </c>
      <c r="C18" s="12">
        <f t="shared" si="0"/>
        <v>0.06571101343854001</v>
      </c>
      <c r="D18" s="11">
        <v>1095802</v>
      </c>
      <c r="E18" s="12">
        <f t="shared" si="1"/>
        <v>0.04132211833429404</v>
      </c>
      <c r="F18" s="12">
        <f t="shared" si="2"/>
        <v>0.764275845453832</v>
      </c>
      <c r="G18" s="11">
        <v>695713</v>
      </c>
      <c r="H18" s="11">
        <v>419949</v>
      </c>
      <c r="I18" s="12">
        <f t="shared" si="3"/>
        <v>0.656660689750422</v>
      </c>
      <c r="J18" s="20"/>
    </row>
    <row r="19" spans="1:10" ht="15">
      <c r="A19" s="5" t="s">
        <v>1021</v>
      </c>
      <c r="B19" s="11">
        <v>2708384</v>
      </c>
      <c r="C19" s="12">
        <f t="shared" si="0"/>
        <v>0.0920555183299445</v>
      </c>
      <c r="D19" s="11">
        <v>2720896</v>
      </c>
      <c r="E19" s="12">
        <f t="shared" si="1"/>
        <v>0.10260356021188803</v>
      </c>
      <c r="F19" s="12">
        <f t="shared" si="2"/>
        <v>-0.004598485204873689</v>
      </c>
      <c r="G19" s="11">
        <v>1116445</v>
      </c>
      <c r="H19" s="11">
        <v>1210182</v>
      </c>
      <c r="I19" s="12">
        <f>(+G19-H19)/H19</f>
        <v>-0.07745694449264656</v>
      </c>
      <c r="J19" s="20"/>
    </row>
    <row r="20" spans="1:10" ht="15">
      <c r="A20" s="5" t="s">
        <v>1022</v>
      </c>
      <c r="B20" s="11">
        <v>2198895</v>
      </c>
      <c r="C20" s="12">
        <f t="shared" si="0"/>
        <v>0.07473844882340293</v>
      </c>
      <c r="D20" s="11">
        <f>1354032+819498</f>
        <v>2173530</v>
      </c>
      <c r="E20" s="12">
        <f t="shared" si="1"/>
        <v>0.08196267561396871</v>
      </c>
      <c r="F20" s="12">
        <f t="shared" si="2"/>
        <v>0.011669956246290596</v>
      </c>
      <c r="G20" s="11">
        <v>641208</v>
      </c>
      <c r="H20" s="11">
        <f>472567+211835</f>
        <v>684402</v>
      </c>
      <c r="I20" s="12">
        <f t="shared" si="3"/>
        <v>-0.06311203064865387</v>
      </c>
      <c r="J20" s="20"/>
    </row>
    <row r="21" spans="1:10" ht="15">
      <c r="A21" s="5" t="s">
        <v>702</v>
      </c>
      <c r="B21" s="11">
        <v>2926609</v>
      </c>
      <c r="C21" s="12">
        <f t="shared" si="0"/>
        <v>0.09947278836534279</v>
      </c>
      <c r="D21" s="11">
        <v>2783701</v>
      </c>
      <c r="E21" s="12">
        <f t="shared" si="1"/>
        <v>0.10497190380131873</v>
      </c>
      <c r="F21" s="12">
        <f t="shared" si="2"/>
        <v>0.05133741016007107</v>
      </c>
      <c r="G21" s="11">
        <v>1207039</v>
      </c>
      <c r="H21" s="11">
        <v>1162989</v>
      </c>
      <c r="I21" s="12">
        <f t="shared" si="3"/>
        <v>0.0378765405347772</v>
      </c>
      <c r="J21" s="20"/>
    </row>
    <row r="22" spans="1:10" ht="15">
      <c r="A22" s="5" t="s">
        <v>703</v>
      </c>
      <c r="B22" s="11">
        <v>3235726</v>
      </c>
      <c r="C22" s="12">
        <f t="shared" si="0"/>
        <v>0.10997939513144296</v>
      </c>
      <c r="D22" s="11">
        <v>3218801</v>
      </c>
      <c r="E22" s="12">
        <f t="shared" si="1"/>
        <v>0.1213792964573381</v>
      </c>
      <c r="F22" s="12">
        <f t="shared" si="2"/>
        <v>0.005258169113281623</v>
      </c>
      <c r="G22" s="11">
        <v>1266989</v>
      </c>
      <c r="H22" s="11">
        <v>1348511</v>
      </c>
      <c r="I22" s="12">
        <f t="shared" si="3"/>
        <v>-0.06045334446660057</v>
      </c>
      <c r="J22" s="20"/>
    </row>
    <row r="23" spans="1:10" ht="15">
      <c r="A23" s="5" t="s">
        <v>704</v>
      </c>
      <c r="B23" s="11">
        <v>941511</v>
      </c>
      <c r="C23" s="12">
        <f t="shared" si="0"/>
        <v>0.032001105869161973</v>
      </c>
      <c r="D23" s="11">
        <v>939437</v>
      </c>
      <c r="E23" s="12">
        <f t="shared" si="1"/>
        <v>0.03542567624590409</v>
      </c>
      <c r="F23" s="12">
        <f t="shared" si="2"/>
        <v>0.002207705253252746</v>
      </c>
      <c r="G23" s="11">
        <v>236723</v>
      </c>
      <c r="H23" s="11">
        <v>268025</v>
      </c>
      <c r="I23" s="12">
        <f t="shared" si="3"/>
        <v>-0.1167876130957933</v>
      </c>
      <c r="J23" s="20"/>
    </row>
    <row r="24" spans="1:10" ht="15">
      <c r="A24" s="5" t="s">
        <v>705</v>
      </c>
      <c r="B24" s="11">
        <v>1982478</v>
      </c>
      <c r="C24" s="12">
        <f t="shared" si="0"/>
        <v>0.06738263106993385</v>
      </c>
      <c r="D24" s="11">
        <v>1300417</v>
      </c>
      <c r="E24" s="12">
        <f t="shared" si="1"/>
        <v>0.0490380426006958</v>
      </c>
      <c r="F24" s="12">
        <f t="shared" si="2"/>
        <v>0.5244940661341708</v>
      </c>
      <c r="G24" s="11">
        <v>791181</v>
      </c>
      <c r="H24" s="11">
        <v>562361</v>
      </c>
      <c r="I24" s="12">
        <f t="shared" si="3"/>
        <v>0.40689165856095993</v>
      </c>
      <c r="J24" s="20"/>
    </row>
    <row r="25" spans="1:9" ht="15">
      <c r="A25" s="5"/>
      <c r="B25" s="11"/>
      <c r="C25" s="12"/>
      <c r="D25" s="11"/>
      <c r="E25" s="12"/>
      <c r="F25" s="12"/>
      <c r="G25" s="11"/>
      <c r="H25" s="11"/>
      <c r="I25" s="12"/>
    </row>
    <row r="26" spans="1:9" ht="14.25">
      <c r="A26" s="13" t="s">
        <v>674</v>
      </c>
      <c r="B26" s="14">
        <f>SUM(B14:B25)</f>
        <v>29421202</v>
      </c>
      <c r="C26" s="16">
        <f>SUM(C14:C25)</f>
        <v>1</v>
      </c>
      <c r="D26" s="14">
        <f>SUM(D14:D25)</f>
        <v>26518534</v>
      </c>
      <c r="E26" s="15">
        <f>SUM(E14:E25)</f>
        <v>1</v>
      </c>
      <c r="F26" s="16">
        <f>(B26-D26)/D26</f>
        <v>0.10945808693647997</v>
      </c>
      <c r="G26" s="14">
        <f>SUM(G14:G24)</f>
        <v>12292152</v>
      </c>
      <c r="H26" s="14">
        <f>SUM(H14:H24)</f>
        <v>11864672</v>
      </c>
      <c r="I26" s="16">
        <f t="shared" si="3"/>
        <v>0.03602965172572828</v>
      </c>
    </row>
    <row r="27" spans="1:9" ht="15">
      <c r="A27" s="11"/>
      <c r="B27" s="11"/>
      <c r="C27" s="11"/>
      <c r="D27" s="11"/>
      <c r="E27" s="11"/>
      <c r="F27" s="11"/>
      <c r="G27" s="11"/>
      <c r="H27" s="11"/>
      <c r="I27" s="11"/>
    </row>
    <row r="28" spans="1:9" ht="15">
      <c r="A28" s="69" t="s">
        <v>874</v>
      </c>
      <c r="B28" s="11"/>
      <c r="C28" s="11"/>
      <c r="D28" s="11"/>
      <c r="E28" s="11"/>
      <c r="F28" s="11"/>
      <c r="G28" s="11"/>
      <c r="H28" s="11"/>
      <c r="I28" s="11"/>
    </row>
    <row r="29" spans="1:9" ht="26.25" customHeight="1">
      <c r="A29" s="519" t="s">
        <v>1020</v>
      </c>
      <c r="B29" s="519"/>
      <c r="C29" s="519"/>
      <c r="D29" s="519"/>
      <c r="E29" s="519"/>
      <c r="F29" s="519"/>
      <c r="G29" s="519"/>
      <c r="H29" s="519"/>
      <c r="I29" s="519"/>
    </row>
    <row r="30" spans="1:9" ht="24.75" customHeight="1">
      <c r="A30" s="520" t="s">
        <v>1023</v>
      </c>
      <c r="B30" s="520"/>
      <c r="C30" s="520"/>
      <c r="D30" s="520"/>
      <c r="E30" s="520"/>
      <c r="F30" s="520"/>
      <c r="G30" s="520"/>
      <c r="H30" s="520"/>
      <c r="I30" s="520"/>
    </row>
    <row r="31" spans="1:6" ht="12.75">
      <c r="A31" s="174"/>
      <c r="B31" s="174"/>
      <c r="C31" s="174"/>
      <c r="D31" s="174"/>
      <c r="E31" s="174"/>
      <c r="F31" s="174"/>
    </row>
    <row r="32" spans="1:9" ht="15">
      <c r="A32" s="7"/>
      <c r="B32" s="527" t="s">
        <v>662</v>
      </c>
      <c r="C32" s="527"/>
      <c r="D32" s="527"/>
      <c r="E32" s="527"/>
      <c r="F32" s="527"/>
      <c r="G32" s="547"/>
      <c r="H32" s="548"/>
      <c r="I32" s="548"/>
    </row>
    <row r="33" spans="1:9" ht="15">
      <c r="A33" s="9"/>
      <c r="B33" s="10" t="s">
        <v>979</v>
      </c>
      <c r="C33" s="8" t="s">
        <v>665</v>
      </c>
      <c r="D33" s="8" t="s">
        <v>921</v>
      </c>
      <c r="E33" s="8" t="s">
        <v>665</v>
      </c>
      <c r="F33" s="8" t="s">
        <v>883</v>
      </c>
      <c r="G33" s="177"/>
      <c r="H33" s="60"/>
      <c r="I33" s="60"/>
    </row>
    <row r="34" spans="1:6" ht="26.25">
      <c r="A34" s="178" t="s">
        <v>955</v>
      </c>
      <c r="B34" s="182">
        <v>114844</v>
      </c>
      <c r="C34" s="180">
        <v>1</v>
      </c>
      <c r="D34" s="182">
        <v>97344</v>
      </c>
      <c r="E34" s="180">
        <v>1</v>
      </c>
      <c r="F34" s="181">
        <f>(B34-D34)/D34</f>
        <v>0.17977481919789612</v>
      </c>
    </row>
    <row r="35" spans="1:6" ht="26.25">
      <c r="A35" s="178" t="s">
        <v>956</v>
      </c>
      <c r="B35" s="226">
        <v>29421202</v>
      </c>
      <c r="C35" s="225">
        <v>1</v>
      </c>
      <c r="D35" s="226">
        <v>26518534</v>
      </c>
      <c r="E35" s="180">
        <v>1</v>
      </c>
      <c r="F35" s="181">
        <f>(B35-D35)/D35</f>
        <v>0.10945808693647997</v>
      </c>
    </row>
    <row r="37" spans="2:3" ht="12.75">
      <c r="B37" t="s">
        <v>738</v>
      </c>
      <c r="C37" t="s">
        <v>737</v>
      </c>
    </row>
    <row r="38" spans="1:3" ht="12.75">
      <c r="A38">
        <v>1997</v>
      </c>
      <c r="B38" s="36">
        <v>7769</v>
      </c>
      <c r="C38" s="36">
        <v>11188</v>
      </c>
    </row>
    <row r="39" spans="1:3" ht="12.75">
      <c r="A39">
        <v>1998</v>
      </c>
      <c r="B39" s="36">
        <v>8799.79</v>
      </c>
      <c r="C39" s="36">
        <v>13827.674</v>
      </c>
    </row>
    <row r="40" spans="1:3" ht="12.75">
      <c r="A40">
        <v>1999</v>
      </c>
      <c r="B40" s="36">
        <v>9488.55</v>
      </c>
      <c r="C40" s="36">
        <v>15594.503</v>
      </c>
    </row>
    <row r="41" spans="1:3" ht="12.75">
      <c r="A41" s="80">
        <v>2000</v>
      </c>
      <c r="B41" s="36">
        <v>10379.823</v>
      </c>
      <c r="C41" s="36">
        <v>17844.956</v>
      </c>
    </row>
    <row r="42" spans="1:3" ht="12.75">
      <c r="A42" s="80">
        <v>2001</v>
      </c>
      <c r="B42" s="36">
        <v>11864.672</v>
      </c>
      <c r="C42" s="36">
        <v>26518.534</v>
      </c>
    </row>
    <row r="43" spans="1:3" ht="12.75">
      <c r="A43" s="80">
        <v>2002</v>
      </c>
      <c r="B43" s="36">
        <f>+G26/1000</f>
        <v>12292.152</v>
      </c>
      <c r="C43" s="36">
        <f>+B26/1000</f>
        <v>29421.202</v>
      </c>
    </row>
  </sheetData>
  <mergeCells count="10">
    <mergeCell ref="B32:F32"/>
    <mergeCell ref="G32:I32"/>
    <mergeCell ref="A30:I30"/>
    <mergeCell ref="A29:I29"/>
    <mergeCell ref="A5:I5"/>
    <mergeCell ref="A7:I7"/>
    <mergeCell ref="A8:I8"/>
    <mergeCell ref="B11:F11"/>
    <mergeCell ref="G11:I11"/>
    <mergeCell ref="A6:I6"/>
  </mergeCells>
  <printOptions horizontalCentered="1"/>
  <pageMargins left="0.75" right="0.75" top="1" bottom="1" header="0" footer="0"/>
  <pageSetup horizontalDpi="300" verticalDpi="300" orientation="portrait" scale="90" r:id="rId2"/>
  <headerFooter alignWithMargins="0">
    <oddFooter>&amp;C35</oddFooter>
  </headerFooter>
  <drawing r:id="rId1"/>
</worksheet>
</file>

<file path=xl/worksheets/sheet22.xml><?xml version="1.0" encoding="utf-8"?>
<worksheet xmlns="http://schemas.openxmlformats.org/spreadsheetml/2006/main" xmlns:r="http://schemas.openxmlformats.org/officeDocument/2006/relationships">
  <dimension ref="A1:L49"/>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699</v>
      </c>
      <c r="B5" s="523"/>
      <c r="C5" s="523"/>
      <c r="D5" s="523"/>
      <c r="E5" s="523"/>
      <c r="F5" s="524"/>
    </row>
    <row r="6" spans="1:6" ht="18.75" thickBot="1">
      <c r="A6" s="516" t="s">
        <v>905</v>
      </c>
      <c r="B6" s="517"/>
      <c r="C6" s="517"/>
      <c r="D6" s="517"/>
      <c r="E6" s="517"/>
      <c r="F6" s="518"/>
    </row>
    <row r="7" spans="1:9" ht="15.75">
      <c r="A7" s="525" t="s">
        <v>980</v>
      </c>
      <c r="B7" s="525"/>
      <c r="C7" s="525"/>
      <c r="D7" s="525"/>
      <c r="E7" s="525"/>
      <c r="F7" s="525"/>
      <c r="G7" s="108"/>
      <c r="H7" s="108"/>
      <c r="I7" s="108"/>
    </row>
    <row r="8" spans="1:9" ht="15.75">
      <c r="A8" s="526" t="s">
        <v>981</v>
      </c>
      <c r="B8" s="526"/>
      <c r="C8" s="526"/>
      <c r="D8" s="526"/>
      <c r="E8" s="526"/>
      <c r="F8" s="526"/>
      <c r="G8" s="110"/>
      <c r="H8" s="110"/>
      <c r="I8" s="110"/>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115"/>
      <c r="C14" s="20"/>
      <c r="D14" s="19"/>
      <c r="E14" s="20"/>
      <c r="F14" s="20"/>
    </row>
    <row r="15" spans="1:8" ht="15">
      <c r="A15" s="5" t="s">
        <v>1018</v>
      </c>
      <c r="B15" s="142">
        <v>1086814.404296875</v>
      </c>
      <c r="C15" s="20">
        <f aca="true" t="shared" si="0" ref="C15:C25">B15/$B$27</f>
        <v>0.034232385354083024</v>
      </c>
      <c r="D15" s="161">
        <v>974992.8135458514</v>
      </c>
      <c r="E15" s="20">
        <f aca="true" t="shared" si="1" ref="E15:E25">+D15/$D$27</f>
        <v>0.035916488304631594</v>
      </c>
      <c r="F15" s="20">
        <f>(B15-D15)/D15</f>
        <v>0.11468965637228765</v>
      </c>
      <c r="H15" s="112"/>
    </row>
    <row r="16" spans="1:8" ht="15">
      <c r="A16" s="5" t="s">
        <v>1019</v>
      </c>
      <c r="B16" s="142">
        <v>7426522.75390625</v>
      </c>
      <c r="C16" s="20">
        <f t="shared" si="0"/>
        <v>0.23391996623108766</v>
      </c>
      <c r="D16" s="161">
        <f>4041371.62284498+2357959.35759279</f>
        <v>6399330.9804377705</v>
      </c>
      <c r="E16" s="20">
        <f t="shared" si="1"/>
        <v>0.2357366055658122</v>
      </c>
      <c r="F16" s="20">
        <f aca="true" t="shared" si="2" ref="F16:F25">(B16-D16)/D16</f>
        <v>0.16051549398031145</v>
      </c>
      <c r="H16" s="112"/>
    </row>
    <row r="17" spans="1:8" ht="15">
      <c r="A17" s="5" t="s">
        <v>800</v>
      </c>
      <c r="B17" s="142">
        <v>6840519.7265625</v>
      </c>
      <c r="C17" s="20">
        <f t="shared" si="0"/>
        <v>0.21546209396570423</v>
      </c>
      <c r="D17" s="161">
        <v>5885923.114588429</v>
      </c>
      <c r="E17" s="20">
        <f t="shared" si="1"/>
        <v>0.21682384297608406</v>
      </c>
      <c r="F17" s="20">
        <f t="shared" si="2"/>
        <v>0.16218299039755985</v>
      </c>
      <c r="H17" s="112"/>
    </row>
    <row r="18" spans="1:6" ht="15">
      <c r="A18" s="5" t="s">
        <v>700</v>
      </c>
      <c r="B18" s="142">
        <v>1875586.62109375</v>
      </c>
      <c r="C18" s="20">
        <f t="shared" si="0"/>
        <v>0.05907706387070046</v>
      </c>
      <c r="D18" s="161">
        <v>1538439.7912030567</v>
      </c>
      <c r="E18" s="20">
        <f t="shared" si="1"/>
        <v>0.05667257645435552</v>
      </c>
      <c r="F18" s="20">
        <f t="shared" si="2"/>
        <v>0.2191485372508762</v>
      </c>
    </row>
    <row r="19" spans="1:6" ht="15">
      <c r="A19" s="5" t="s">
        <v>701</v>
      </c>
      <c r="B19" s="142">
        <v>2299283.10546875</v>
      </c>
      <c r="C19" s="20">
        <f t="shared" si="0"/>
        <v>0.07242261879613303</v>
      </c>
      <c r="D19" s="161">
        <v>2000816.5053482533</v>
      </c>
      <c r="E19" s="20">
        <f t="shared" si="1"/>
        <v>0.07370546902054156</v>
      </c>
      <c r="F19" s="20">
        <f t="shared" si="2"/>
        <v>0.14917240002903062</v>
      </c>
    </row>
    <row r="20" spans="1:6" ht="15">
      <c r="A20" s="5" t="s">
        <v>1021</v>
      </c>
      <c r="B20" s="142">
        <v>2765518.9453125</v>
      </c>
      <c r="C20" s="20">
        <f t="shared" si="0"/>
        <v>0.08710807463138348</v>
      </c>
      <c r="D20" s="161">
        <v>2339529.019223799</v>
      </c>
      <c r="E20" s="20">
        <f t="shared" si="1"/>
        <v>0.08618285744251407</v>
      </c>
      <c r="F20" s="20">
        <f>(B20-D20)/D20</f>
        <v>0.18208362563078379</v>
      </c>
    </row>
    <row r="21" spans="1:6" ht="15">
      <c r="A21" s="5" t="s">
        <v>1022</v>
      </c>
      <c r="B21" s="142">
        <v>1036854.1015625</v>
      </c>
      <c r="C21" s="20">
        <f t="shared" si="0"/>
        <v>0.03265874009427784</v>
      </c>
      <c r="D21" s="161">
        <f>663901.926717249+253550.002079694</f>
        <v>917451.928796943</v>
      </c>
      <c r="E21" s="20">
        <f t="shared" si="1"/>
        <v>0.03379681471790404</v>
      </c>
      <c r="F21" s="20">
        <f t="shared" si="2"/>
        <v>0.13014542671693907</v>
      </c>
    </row>
    <row r="22" spans="1:6" ht="15">
      <c r="A22" s="5" t="s">
        <v>702</v>
      </c>
      <c r="B22" s="142">
        <v>3117873.92578125</v>
      </c>
      <c r="C22" s="20">
        <f t="shared" si="0"/>
        <v>0.09820652108659056</v>
      </c>
      <c r="D22" s="161">
        <v>2582565.0407598247</v>
      </c>
      <c r="E22" s="20">
        <f t="shared" si="1"/>
        <v>0.09513574438058005</v>
      </c>
      <c r="F22" s="20">
        <f t="shared" si="2"/>
        <v>0.20727798780391235</v>
      </c>
    </row>
    <row r="23" spans="1:6" ht="15">
      <c r="A23" s="5" t="s">
        <v>703</v>
      </c>
      <c r="B23" s="142">
        <v>2839826.533203125</v>
      </c>
      <c r="C23" s="20">
        <f t="shared" si="0"/>
        <v>0.08944860855635474</v>
      </c>
      <c r="D23" s="161">
        <v>2509450.6725294758</v>
      </c>
      <c r="E23" s="20">
        <f t="shared" si="1"/>
        <v>0.09244237955269421</v>
      </c>
      <c r="F23" s="20">
        <f t="shared" si="2"/>
        <v>0.13165266179176857</v>
      </c>
    </row>
    <row r="24" spans="1:6" ht="15">
      <c r="A24" s="5" t="s">
        <v>704</v>
      </c>
      <c r="B24" s="142">
        <v>355081.73828125</v>
      </c>
      <c r="C24" s="20">
        <f t="shared" si="0"/>
        <v>0.011184333635056474</v>
      </c>
      <c r="D24" s="161">
        <v>308521.00362008734</v>
      </c>
      <c r="E24" s="20">
        <f t="shared" si="1"/>
        <v>0.01136520276283345</v>
      </c>
      <c r="F24" s="20">
        <f t="shared" si="2"/>
        <v>0.15091593154058816</v>
      </c>
    </row>
    <row r="25" spans="1:6" ht="15">
      <c r="A25" s="5" t="s">
        <v>705</v>
      </c>
      <c r="B25" s="142">
        <v>2104253.515625</v>
      </c>
      <c r="C25" s="20">
        <f t="shared" si="0"/>
        <v>0.06627959377862848</v>
      </c>
      <c r="D25" s="161">
        <v>1689085.5442565503</v>
      </c>
      <c r="E25" s="20">
        <f t="shared" si="1"/>
        <v>0.06222201882204921</v>
      </c>
      <c r="F25" s="20">
        <f t="shared" si="2"/>
        <v>0.24579452046117983</v>
      </c>
    </row>
    <row r="26" spans="1:6" ht="15">
      <c r="A26" s="5" t="s">
        <v>686</v>
      </c>
      <c r="B26" s="19"/>
      <c r="C26" s="20"/>
      <c r="D26" s="19"/>
      <c r="E26" s="20"/>
      <c r="F26" s="20"/>
    </row>
    <row r="27" spans="1:6" ht="14.25">
      <c r="A27" s="13" t="s">
        <v>674</v>
      </c>
      <c r="B27" s="21">
        <f>SUM(B15:B26)</f>
        <v>31748135.37109375</v>
      </c>
      <c r="C27" s="141">
        <f>SUM(C15:C26)</f>
        <v>0.9999999999999999</v>
      </c>
      <c r="D27" s="21">
        <f>SUM(D15:D26)</f>
        <v>27146106.41431004</v>
      </c>
      <c r="E27" s="141">
        <f>SUM(E15:E26)</f>
        <v>1</v>
      </c>
      <c r="F27" s="141">
        <f>(B27-D27)/D27</f>
        <v>0.16952814103601072</v>
      </c>
    </row>
    <row r="28" spans="1:6" ht="15">
      <c r="A28" s="5" t="s">
        <v>686</v>
      </c>
      <c r="B28" s="19"/>
      <c r="C28" s="20"/>
      <c r="D28" s="19"/>
      <c r="E28" s="20"/>
      <c r="F28" s="20"/>
    </row>
    <row r="29" spans="1:6" ht="12.75">
      <c r="A29" s="560" t="s">
        <v>871</v>
      </c>
      <c r="B29" s="555"/>
      <c r="C29" s="555"/>
      <c r="D29" s="555"/>
      <c r="E29" s="555"/>
      <c r="F29" s="555"/>
    </row>
    <row r="30" spans="1:6" ht="12.75">
      <c r="A30" s="560" t="s">
        <v>872</v>
      </c>
      <c r="B30" s="560"/>
      <c r="C30" s="560"/>
      <c r="D30" s="560"/>
      <c r="E30" s="560"/>
      <c r="F30" s="560"/>
    </row>
    <row r="31" spans="1:12" ht="12.75">
      <c r="A31" s="66" t="s">
        <v>1024</v>
      </c>
      <c r="B31" s="66"/>
      <c r="C31" s="66"/>
      <c r="D31" s="66"/>
      <c r="E31" s="133"/>
      <c r="F31" s="66"/>
      <c r="I31" s="36"/>
      <c r="J31" s="36"/>
      <c r="K31" s="36"/>
      <c r="L31" s="36"/>
    </row>
    <row r="32" spans="1:6" ht="12.75">
      <c r="A32" s="66" t="s">
        <v>1025</v>
      </c>
      <c r="B32" s="66"/>
      <c r="C32" s="66"/>
      <c r="D32" s="66"/>
      <c r="E32" s="133"/>
      <c r="F32" s="66"/>
    </row>
    <row r="33" spans="1:6" ht="26.25" customHeight="1">
      <c r="A33" s="519" t="s">
        <v>1020</v>
      </c>
      <c r="B33" s="519"/>
      <c r="C33" s="519"/>
      <c r="D33" s="519"/>
      <c r="E33" s="519"/>
      <c r="F33" s="519"/>
    </row>
    <row r="34" spans="1:6" ht="26.25" customHeight="1">
      <c r="A34" s="520" t="s">
        <v>1023</v>
      </c>
      <c r="B34" s="520"/>
      <c r="C34" s="520"/>
      <c r="D34" s="520"/>
      <c r="E34" s="520"/>
      <c r="F34" s="520"/>
    </row>
    <row r="35" spans="1:6" ht="8.25" customHeight="1">
      <c r="A35" s="174"/>
      <c r="B35" s="174"/>
      <c r="C35" s="174"/>
      <c r="D35" s="174"/>
      <c r="E35" s="174"/>
      <c r="F35" s="174"/>
    </row>
    <row r="36" spans="1:10" ht="14.25">
      <c r="A36" s="7"/>
      <c r="B36" s="7" t="s">
        <v>735</v>
      </c>
      <c r="C36" s="7" t="s">
        <v>712</v>
      </c>
      <c r="D36" s="7" t="s">
        <v>735</v>
      </c>
      <c r="E36" s="7" t="s">
        <v>712</v>
      </c>
      <c r="F36" s="7" t="s">
        <v>713</v>
      </c>
      <c r="I36" t="s">
        <v>629</v>
      </c>
      <c r="J36" t="s">
        <v>630</v>
      </c>
    </row>
    <row r="37" spans="1:10" ht="15">
      <c r="A37" s="23"/>
      <c r="B37" s="23" t="s">
        <v>736</v>
      </c>
      <c r="C37" s="24" t="s">
        <v>715</v>
      </c>
      <c r="D37" s="23" t="s">
        <v>736</v>
      </c>
      <c r="E37" s="24" t="s">
        <v>715</v>
      </c>
      <c r="F37" s="159" t="s">
        <v>884</v>
      </c>
      <c r="I37" t="s">
        <v>882</v>
      </c>
      <c r="J37">
        <v>2400</v>
      </c>
    </row>
    <row r="38" spans="1:6" ht="15">
      <c r="A38" s="9"/>
      <c r="B38" s="122" t="s">
        <v>979</v>
      </c>
      <c r="C38" s="227" t="s">
        <v>716</v>
      </c>
      <c r="D38" s="218" t="s">
        <v>921</v>
      </c>
      <c r="E38" s="9" t="s">
        <v>716</v>
      </c>
      <c r="F38" s="26"/>
    </row>
    <row r="39" spans="1:6" ht="26.25">
      <c r="A39" s="178" t="s">
        <v>955</v>
      </c>
      <c r="B39" s="226">
        <v>184711.06</v>
      </c>
      <c r="C39" s="225">
        <v>1</v>
      </c>
      <c r="D39" s="226">
        <v>164476.25</v>
      </c>
      <c r="E39" s="180">
        <v>1</v>
      </c>
      <c r="F39" s="181">
        <f>(B39-D39)/D39</f>
        <v>0.12302572559868065</v>
      </c>
    </row>
    <row r="40" spans="1:6" ht="15">
      <c r="A40" s="178" t="s">
        <v>1074</v>
      </c>
      <c r="B40" s="226">
        <v>31748135</v>
      </c>
      <c r="C40" s="225">
        <v>1</v>
      </c>
      <c r="D40" s="226">
        <v>27146106</v>
      </c>
      <c r="E40" s="180">
        <v>1</v>
      </c>
      <c r="F40" s="181">
        <f>(B40-D40)/D40</f>
        <v>0.16952814521537637</v>
      </c>
    </row>
    <row r="41" ht="12.75">
      <c r="A41" t="s">
        <v>1075</v>
      </c>
    </row>
    <row r="43" ht="12.75">
      <c r="B43" t="s">
        <v>739</v>
      </c>
    </row>
    <row r="44" spans="1:2" ht="12.75">
      <c r="A44">
        <v>1997</v>
      </c>
      <c r="B44" s="36">
        <v>615</v>
      </c>
    </row>
    <row r="45" spans="1:2" ht="12.75">
      <c r="A45">
        <v>1998</v>
      </c>
      <c r="B45" s="36">
        <v>5800.748</v>
      </c>
    </row>
    <row r="46" spans="1:2" ht="12.75">
      <c r="A46">
        <v>1999</v>
      </c>
      <c r="B46" s="36">
        <v>11412</v>
      </c>
    </row>
    <row r="47" spans="1:2" ht="12.75">
      <c r="A47" s="80">
        <v>2000</v>
      </c>
      <c r="B47" s="36">
        <v>17012.01</v>
      </c>
    </row>
    <row r="48" spans="1:2" ht="12.75">
      <c r="A48" s="80">
        <v>2001</v>
      </c>
      <c r="B48" s="36">
        <v>27146.108</v>
      </c>
    </row>
    <row r="49" spans="1:2" ht="12.75">
      <c r="A49" s="80">
        <v>2002</v>
      </c>
      <c r="B49" s="36">
        <f>+B27/1000</f>
        <v>31748.13537109375</v>
      </c>
    </row>
  </sheetData>
  <mergeCells count="8">
    <mergeCell ref="A34:F34"/>
    <mergeCell ref="A33:F33"/>
    <mergeCell ref="A5:F5"/>
    <mergeCell ref="A7:F7"/>
    <mergeCell ref="A8:F8"/>
    <mergeCell ref="A29:F29"/>
    <mergeCell ref="A30:F30"/>
    <mergeCell ref="A6:F6"/>
  </mergeCells>
  <printOptions horizontalCentered="1"/>
  <pageMargins left="0.75" right="0.75" top="1" bottom="1" header="0" footer="0"/>
  <pageSetup horizontalDpi="300" verticalDpi="300" orientation="portrait" scale="90" r:id="rId2"/>
  <headerFooter alignWithMargins="0">
    <oddFooter>&amp;C36</oddFooter>
  </headerFooter>
  <drawing r:id="rId1"/>
</worksheet>
</file>

<file path=xl/worksheets/sheet23.xml><?xml version="1.0" encoding="utf-8"?>
<worksheet xmlns="http://schemas.openxmlformats.org/spreadsheetml/2006/main" xmlns:r="http://schemas.openxmlformats.org/officeDocument/2006/relationships">
  <dimension ref="A1:F34"/>
  <sheetViews>
    <sheetView zoomScaleSheetLayoutView="100" workbookViewId="0" topLeftCell="A1">
      <selection activeCell="A5" sqref="A5:F5"/>
    </sheetView>
  </sheetViews>
  <sheetFormatPr defaultColWidth="11.421875" defaultRowHeight="12.75"/>
  <cols>
    <col min="1" max="1" width="20.8515625" style="0" customWidth="1"/>
    <col min="2" max="2" width="18.8515625" style="0" customWidth="1"/>
    <col min="3" max="3" width="15.140625" style="0" customWidth="1"/>
    <col min="4" max="4" width="18.8515625" style="0" customWidth="1"/>
    <col min="5" max="6" width="15.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801</v>
      </c>
      <c r="B5" s="523"/>
      <c r="C5" s="523"/>
      <c r="D5" s="523"/>
      <c r="E5" s="523"/>
      <c r="F5" s="524"/>
    </row>
    <row r="6" spans="1:6" ht="18.75" thickBot="1">
      <c r="A6" s="516" t="s">
        <v>918</v>
      </c>
      <c r="B6" s="517"/>
      <c r="C6" s="517"/>
      <c r="D6" s="517"/>
      <c r="E6" s="517"/>
      <c r="F6" s="518"/>
    </row>
    <row r="7" spans="1:6" ht="15.75">
      <c r="A7" s="525" t="s">
        <v>984</v>
      </c>
      <c r="B7" s="525"/>
      <c r="C7" s="525"/>
      <c r="D7" s="525"/>
      <c r="E7" s="525"/>
      <c r="F7" s="525"/>
    </row>
    <row r="8" spans="1:6" ht="15.75">
      <c r="A8" s="526" t="s">
        <v>985</v>
      </c>
      <c r="B8" s="526"/>
      <c r="C8" s="526"/>
      <c r="D8" s="526"/>
      <c r="E8" s="526"/>
      <c r="F8" s="526"/>
    </row>
    <row r="9" spans="1:6" ht="15.75">
      <c r="A9" s="6"/>
      <c r="B9" s="5"/>
      <c r="C9" s="5"/>
      <c r="D9" s="5"/>
      <c r="E9" s="5"/>
      <c r="F9" s="5"/>
    </row>
    <row r="10" spans="1:6" ht="15">
      <c r="A10" s="2"/>
      <c r="B10" s="5"/>
      <c r="C10" s="5"/>
      <c r="D10" s="5"/>
      <c r="E10" s="5"/>
      <c r="F10" s="5"/>
    </row>
    <row r="11" spans="1:6" ht="15">
      <c r="A11" s="7" t="s">
        <v>661</v>
      </c>
      <c r="B11" s="527" t="s">
        <v>662</v>
      </c>
      <c r="C11" s="527"/>
      <c r="D11" s="527"/>
      <c r="E11" s="527"/>
      <c r="F11" s="527"/>
    </row>
    <row r="12" spans="1:6" ht="15">
      <c r="A12" s="9" t="s">
        <v>664</v>
      </c>
      <c r="B12" s="10" t="s">
        <v>979</v>
      </c>
      <c r="C12" s="8" t="s">
        <v>665</v>
      </c>
      <c r="D12" s="8" t="s">
        <v>921</v>
      </c>
      <c r="E12" s="8" t="s">
        <v>665</v>
      </c>
      <c r="F12" s="8" t="s">
        <v>883</v>
      </c>
    </row>
    <row r="13" spans="1:6" ht="15">
      <c r="A13" s="5"/>
      <c r="B13" s="11"/>
      <c r="C13" s="12"/>
      <c r="D13" s="11"/>
      <c r="E13" s="12"/>
      <c r="F13" s="12"/>
    </row>
    <row r="14" spans="1:6" ht="15">
      <c r="A14" s="114" t="s">
        <v>688</v>
      </c>
      <c r="B14" s="11">
        <v>51500</v>
      </c>
      <c r="C14" s="12">
        <f>+B14/$B$19</f>
        <v>0.25</v>
      </c>
      <c r="D14" s="11">
        <v>57500</v>
      </c>
      <c r="E14" s="12">
        <f>+D14/$D$19</f>
        <v>0.1343960359012715</v>
      </c>
      <c r="F14" s="12">
        <f>+(B14-D14)/D14</f>
        <v>-0.10434782608695652</v>
      </c>
    </row>
    <row r="15" spans="1:6" ht="15">
      <c r="A15" s="114" t="s">
        <v>697</v>
      </c>
      <c r="B15" s="11">
        <v>51500</v>
      </c>
      <c r="C15" s="12">
        <f>+B15/$B$19</f>
        <v>0.25</v>
      </c>
      <c r="D15" s="11">
        <v>136300</v>
      </c>
      <c r="E15" s="12">
        <f>+D15/$D$19</f>
        <v>0.31857703814510097</v>
      </c>
      <c r="F15" s="12">
        <f>+(B15-D15)/D15</f>
        <v>-0.6221570066030815</v>
      </c>
    </row>
    <row r="16" spans="1:6" ht="15">
      <c r="A16" s="114" t="s">
        <v>1026</v>
      </c>
      <c r="B16" s="11">
        <v>51500</v>
      </c>
      <c r="C16" s="12">
        <f>+B16/$B$19</f>
        <v>0.25</v>
      </c>
      <c r="D16" s="11">
        <v>136490</v>
      </c>
      <c r="E16" s="12">
        <f>+D16/$D$19</f>
        <v>0.31902112939416605</v>
      </c>
      <c r="F16" s="12">
        <f>+(B16-D16)/D16</f>
        <v>-0.6226829804381273</v>
      </c>
    </row>
    <row r="17" spans="1:6" ht="15">
      <c r="A17" s="114" t="s">
        <v>913</v>
      </c>
      <c r="B17" s="11">
        <v>51500</v>
      </c>
      <c r="C17" s="12">
        <f>+B17/$B$19</f>
        <v>0.25</v>
      </c>
      <c r="D17" s="11">
        <v>57500</v>
      </c>
      <c r="E17" s="12">
        <f>+D17/$D$19</f>
        <v>0.1343960359012715</v>
      </c>
      <c r="F17" s="12">
        <f>+(B17-D17)/D17</f>
        <v>-0.10434782608695652</v>
      </c>
    </row>
    <row r="18" spans="1:6" ht="15">
      <c r="A18" s="114" t="s">
        <v>733</v>
      </c>
      <c r="B18" s="11">
        <v>0</v>
      </c>
      <c r="C18" s="12">
        <f>+B18/$B$19</f>
        <v>0</v>
      </c>
      <c r="D18" s="11">
        <f>4550+35500</f>
        <v>40050</v>
      </c>
      <c r="E18" s="12"/>
      <c r="F18" s="12"/>
    </row>
    <row r="19" spans="1:6" ht="14.25">
      <c r="A19" s="13" t="s">
        <v>674</v>
      </c>
      <c r="B19" s="14">
        <f>SUM(B14:B18)</f>
        <v>206000</v>
      </c>
      <c r="C19" s="15">
        <f>SUM(C14:C18)</f>
        <v>1</v>
      </c>
      <c r="D19" s="14">
        <f>SUM(D14:D18)</f>
        <v>427840</v>
      </c>
      <c r="E19" s="15">
        <f>SUM(E14:E17)</f>
        <v>0.90639023934181</v>
      </c>
      <c r="F19" s="16">
        <f>(B19-D19)/D19</f>
        <v>-0.5185115931189229</v>
      </c>
    </row>
    <row r="20" spans="1:6" ht="15">
      <c r="A20" s="11"/>
      <c r="B20" s="11"/>
      <c r="C20" s="11"/>
      <c r="D20" s="11"/>
      <c r="E20" s="11"/>
      <c r="F20" s="11"/>
    </row>
    <row r="21" spans="1:6" ht="15">
      <c r="A21" s="69" t="s">
        <v>808</v>
      </c>
      <c r="B21" s="11"/>
      <c r="C21" s="11"/>
      <c r="D21" s="11"/>
      <c r="E21" s="11"/>
      <c r="F21" s="11"/>
    </row>
    <row r="22" spans="1:6" ht="15">
      <c r="A22" s="69"/>
      <c r="B22" s="11"/>
      <c r="C22" s="11"/>
      <c r="D22" s="11"/>
      <c r="E22" s="11"/>
      <c r="F22" s="11"/>
    </row>
    <row r="23" spans="1:6" ht="49.5" customHeight="1">
      <c r="A23" s="560" t="s">
        <v>969</v>
      </c>
      <c r="B23" s="560"/>
      <c r="C23" s="560"/>
      <c r="D23" s="560"/>
      <c r="E23" s="560"/>
      <c r="F23" s="560"/>
    </row>
    <row r="24" spans="1:6" ht="24.75" customHeight="1">
      <c r="A24" s="546" t="s">
        <v>970</v>
      </c>
      <c r="B24" s="546"/>
      <c r="C24" s="546"/>
      <c r="D24" s="546"/>
      <c r="E24" s="546"/>
      <c r="F24" s="546"/>
    </row>
    <row r="25" spans="1:6" ht="12.75">
      <c r="A25" s="174"/>
      <c r="B25" s="174"/>
      <c r="C25" s="174"/>
      <c r="D25" s="174"/>
      <c r="E25" s="174"/>
      <c r="F25" s="174"/>
    </row>
    <row r="26" spans="1:6" ht="15">
      <c r="A26" s="7"/>
      <c r="B26" s="549" t="s">
        <v>886</v>
      </c>
      <c r="C26" s="550"/>
      <c r="D26" s="549" t="s">
        <v>665</v>
      </c>
      <c r="E26" s="551"/>
      <c r="F26" s="63"/>
    </row>
    <row r="27" spans="1:6" ht="25.5">
      <c r="A27" s="178" t="s">
        <v>955</v>
      </c>
      <c r="B27" s="561">
        <v>12540</v>
      </c>
      <c r="C27" s="562"/>
      <c r="D27" s="563">
        <v>1</v>
      </c>
      <c r="E27" s="564"/>
      <c r="F27" s="59"/>
    </row>
    <row r="28" spans="1:6" ht="14.25">
      <c r="A28" s="178" t="s">
        <v>956</v>
      </c>
      <c r="B28" s="561">
        <v>184576</v>
      </c>
      <c r="C28" s="562"/>
      <c r="D28" s="563">
        <v>1</v>
      </c>
      <c r="E28" s="564"/>
      <c r="F28" s="59"/>
    </row>
    <row r="29" ht="12.75">
      <c r="B29" s="36"/>
    </row>
    <row r="30" ht="12.75">
      <c r="B30" s="36" t="s">
        <v>737</v>
      </c>
    </row>
    <row r="31" spans="1:2" ht="12.75">
      <c r="A31">
        <v>1999</v>
      </c>
      <c r="B31" s="36">
        <v>105.218</v>
      </c>
    </row>
    <row r="32" spans="1:2" ht="12.75">
      <c r="A32">
        <v>2000</v>
      </c>
      <c r="B32" s="36">
        <v>393.218</v>
      </c>
    </row>
    <row r="33" spans="1:2" ht="12.75">
      <c r="A33" s="80">
        <v>2001</v>
      </c>
      <c r="B33" s="36">
        <v>427.84</v>
      </c>
    </row>
    <row r="34" spans="1:2" ht="12.75">
      <c r="A34" s="80">
        <v>2002</v>
      </c>
      <c r="B34">
        <f>+B19/1000</f>
        <v>206</v>
      </c>
    </row>
  </sheetData>
  <mergeCells count="13">
    <mergeCell ref="B28:C28"/>
    <mergeCell ref="D28:E28"/>
    <mergeCell ref="B27:C27"/>
    <mergeCell ref="D27:E27"/>
    <mergeCell ref="B26:C26"/>
    <mergeCell ref="D26:E26"/>
    <mergeCell ref="A24:F24"/>
    <mergeCell ref="A23:F23"/>
    <mergeCell ref="A5:F5"/>
    <mergeCell ref="A7:F7"/>
    <mergeCell ref="A8:F8"/>
    <mergeCell ref="B11:F11"/>
    <mergeCell ref="A6:F6"/>
  </mergeCells>
  <printOptions horizontalCentered="1"/>
  <pageMargins left="0.75" right="0.75" top="1" bottom="1" header="0" footer="0"/>
  <pageSetup horizontalDpi="300" verticalDpi="300" orientation="portrait" scale="90" r:id="rId2"/>
  <headerFooter alignWithMargins="0">
    <oddFooter>&amp;C37</oddFooter>
  </headerFooter>
  <drawing r:id="rId1"/>
</worksheet>
</file>

<file path=xl/worksheets/sheet24.xml><?xml version="1.0" encoding="utf-8"?>
<worksheet xmlns="http://schemas.openxmlformats.org/spreadsheetml/2006/main" xmlns:r="http://schemas.openxmlformats.org/officeDocument/2006/relationships">
  <dimension ref="A1:I37"/>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801</v>
      </c>
      <c r="B5" s="523"/>
      <c r="C5" s="523"/>
      <c r="D5" s="523"/>
      <c r="E5" s="523"/>
      <c r="F5" s="524"/>
    </row>
    <row r="6" spans="1:6" ht="18.75" thickBot="1">
      <c r="A6" s="516" t="s">
        <v>918</v>
      </c>
      <c r="B6" s="517"/>
      <c r="C6" s="517"/>
      <c r="D6" s="517"/>
      <c r="E6" s="517"/>
      <c r="F6" s="518"/>
    </row>
    <row r="7" spans="1:9" ht="15.75">
      <c r="A7" s="525" t="s">
        <v>980</v>
      </c>
      <c r="B7" s="525"/>
      <c r="C7" s="525"/>
      <c r="D7" s="525"/>
      <c r="E7" s="525"/>
      <c r="F7" s="525"/>
      <c r="G7" s="108"/>
      <c r="H7" s="108"/>
      <c r="I7" s="108"/>
    </row>
    <row r="8" spans="1:9" ht="15.75">
      <c r="A8" s="526" t="s">
        <v>981</v>
      </c>
      <c r="B8" s="526"/>
      <c r="C8" s="526"/>
      <c r="D8" s="526"/>
      <c r="E8" s="526"/>
      <c r="F8" s="526"/>
      <c r="G8" s="110"/>
      <c r="H8" s="110"/>
      <c r="I8" s="110"/>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115"/>
      <c r="C14" s="20"/>
      <c r="D14" s="19"/>
      <c r="E14" s="20"/>
      <c r="F14" s="20"/>
    </row>
    <row r="15" spans="1:8" ht="15">
      <c r="A15" s="114" t="s">
        <v>688</v>
      </c>
      <c r="B15" s="11">
        <v>113300</v>
      </c>
      <c r="C15" s="12">
        <f>+B15/$B$20</f>
        <v>0.25096909956805846</v>
      </c>
      <c r="D15" s="11">
        <v>116891</v>
      </c>
      <c r="E15" s="12">
        <f>+D15/$D$20</f>
        <v>0.19512533052001815</v>
      </c>
      <c r="F15" s="12">
        <f aca="true" t="shared" si="0" ref="F15:F20">+(B15-D15)/D15</f>
        <v>-0.03072092804407525</v>
      </c>
      <c r="H15" s="112"/>
    </row>
    <row r="16" spans="1:6" ht="15">
      <c r="A16" s="114" t="s">
        <v>697</v>
      </c>
      <c r="B16" s="11">
        <v>113090</v>
      </c>
      <c r="C16" s="12">
        <f>+B16/$B$20</f>
        <v>0.25050393177539043</v>
      </c>
      <c r="D16" s="11">
        <v>171600</v>
      </c>
      <c r="E16" s="12">
        <f>+D16/$D$20</f>
        <v>0.286450682406987</v>
      </c>
      <c r="F16" s="12">
        <f t="shared" si="0"/>
        <v>-0.340967365967366</v>
      </c>
    </row>
    <row r="17" spans="1:6" ht="15">
      <c r="A17" s="114" t="s">
        <v>1026</v>
      </c>
      <c r="B17" s="11">
        <v>112840</v>
      </c>
      <c r="C17" s="12">
        <f>+B17/$B$20</f>
        <v>0.2499501605936427</v>
      </c>
      <c r="D17" s="11">
        <v>167600</v>
      </c>
      <c r="E17" s="12">
        <f>+D17/$D$20</f>
        <v>0.27977351032290804</v>
      </c>
      <c r="F17" s="12">
        <f t="shared" si="0"/>
        <v>-0.32673031026252985</v>
      </c>
    </row>
    <row r="18" spans="1:6" ht="15">
      <c r="A18" s="114" t="s">
        <v>913</v>
      </c>
      <c r="B18" s="11">
        <v>112220</v>
      </c>
      <c r="C18" s="12">
        <f>+B18/$B$20</f>
        <v>0.2485768080629084</v>
      </c>
      <c r="D18" s="11">
        <v>116705</v>
      </c>
      <c r="E18" s="12">
        <f>+D18/$D$20</f>
        <v>0.1948148420181085</v>
      </c>
      <c r="F18" s="12">
        <f t="shared" si="0"/>
        <v>-0.038430230067263614</v>
      </c>
    </row>
    <row r="19" spans="1:6" ht="15">
      <c r="A19" s="114" t="s">
        <v>733</v>
      </c>
      <c r="B19" s="11">
        <v>0</v>
      </c>
      <c r="C19" s="12">
        <f>+B19/$B$20</f>
        <v>0</v>
      </c>
      <c r="D19" s="11">
        <f>25500+760</f>
        <v>26260</v>
      </c>
      <c r="E19" s="12"/>
      <c r="F19" s="12">
        <f t="shared" si="0"/>
        <v>-1</v>
      </c>
    </row>
    <row r="20" spans="1:6" ht="14.25">
      <c r="A20" s="13" t="s">
        <v>674</v>
      </c>
      <c r="B20" s="21">
        <f>SUM(B15:B19)</f>
        <v>451450</v>
      </c>
      <c r="C20" s="16">
        <f>SUM(C15:C19)</f>
        <v>1</v>
      </c>
      <c r="D20" s="21">
        <f>SUM(D15:D19)</f>
        <v>599056</v>
      </c>
      <c r="E20" s="16">
        <f>SUM(E15:E18)</f>
        <v>0.9561643652680217</v>
      </c>
      <c r="F20" s="16">
        <f t="shared" si="0"/>
        <v>-0.2463976656606394</v>
      </c>
    </row>
    <row r="21" spans="1:6" ht="15">
      <c r="A21" s="5" t="s">
        <v>686</v>
      </c>
      <c r="B21" s="19"/>
      <c r="C21" s="20"/>
      <c r="D21" s="19"/>
      <c r="E21" s="20"/>
      <c r="F21" s="20"/>
    </row>
    <row r="22" spans="1:6" ht="12.75">
      <c r="A22" s="69" t="s">
        <v>808</v>
      </c>
      <c r="B22" s="18"/>
      <c r="C22" s="18"/>
      <c r="D22" s="18"/>
      <c r="E22" s="18"/>
      <c r="F22" s="18"/>
    </row>
    <row r="23" spans="1:6" ht="12.75">
      <c r="A23" s="69"/>
      <c r="B23" s="18"/>
      <c r="C23" s="18"/>
      <c r="D23" s="18"/>
      <c r="E23" s="18"/>
      <c r="F23" s="18"/>
    </row>
    <row r="24" spans="1:6" ht="53.25" customHeight="1">
      <c r="A24" s="560" t="s">
        <v>969</v>
      </c>
      <c r="B24" s="560"/>
      <c r="C24" s="560"/>
      <c r="D24" s="560"/>
      <c r="E24" s="560"/>
      <c r="F24" s="560"/>
    </row>
    <row r="25" spans="1:6" ht="25.5" customHeight="1">
      <c r="A25" s="546" t="s">
        <v>971</v>
      </c>
      <c r="B25" s="546"/>
      <c r="C25" s="546"/>
      <c r="D25" s="546"/>
      <c r="E25" s="546"/>
      <c r="F25" s="546"/>
    </row>
    <row r="26" spans="1:6" ht="12.75">
      <c r="A26" s="174"/>
      <c r="B26" s="174"/>
      <c r="C26" s="174"/>
      <c r="D26" s="174"/>
      <c r="E26" s="174"/>
      <c r="F26" s="174"/>
    </row>
    <row r="27" spans="1:6" ht="14.25">
      <c r="A27" s="7"/>
      <c r="B27" s="528" t="s">
        <v>735</v>
      </c>
      <c r="C27" s="515"/>
      <c r="D27" s="528" t="s">
        <v>951</v>
      </c>
      <c r="E27" s="515"/>
      <c r="F27" s="63"/>
    </row>
    <row r="28" spans="1:6" ht="15">
      <c r="A28" s="23"/>
      <c r="B28" s="569" t="s">
        <v>736</v>
      </c>
      <c r="C28" s="570"/>
      <c r="D28" s="571" t="s">
        <v>716</v>
      </c>
      <c r="E28" s="572"/>
      <c r="F28" s="176"/>
    </row>
    <row r="29" spans="1:6" ht="25.5">
      <c r="A29" s="178" t="s">
        <v>955</v>
      </c>
      <c r="B29" s="565">
        <f>202+14600+12477</f>
        <v>27279</v>
      </c>
      <c r="C29" s="566"/>
      <c r="D29" s="567">
        <v>1</v>
      </c>
      <c r="E29" s="568"/>
      <c r="F29" s="59"/>
    </row>
    <row r="30" spans="1:6" ht="14.25">
      <c r="A30" s="178" t="s">
        <v>956</v>
      </c>
      <c r="B30" s="565">
        <f>639+62200+39384+3724+24200</f>
        <v>130147</v>
      </c>
      <c r="C30" s="566"/>
      <c r="D30" s="567">
        <v>1</v>
      </c>
      <c r="E30" s="568"/>
      <c r="F30" s="59"/>
    </row>
    <row r="33" ht="12.75">
      <c r="B33" t="s">
        <v>739</v>
      </c>
    </row>
    <row r="34" spans="1:2" ht="12.75">
      <c r="A34">
        <v>1999</v>
      </c>
      <c r="B34" s="36">
        <v>46.3</v>
      </c>
    </row>
    <row r="35" spans="1:2" ht="12.75">
      <c r="A35">
        <v>2000</v>
      </c>
      <c r="B35" s="36">
        <v>526.8</v>
      </c>
    </row>
    <row r="36" spans="1:2" ht="12.75">
      <c r="A36" s="80">
        <v>2001</v>
      </c>
      <c r="B36" s="36">
        <v>599.056</v>
      </c>
    </row>
    <row r="37" spans="1:2" ht="12.75">
      <c r="A37" s="80">
        <v>2002</v>
      </c>
      <c r="B37" s="36">
        <f>+B20/1000</f>
        <v>451.45</v>
      </c>
    </row>
  </sheetData>
  <mergeCells count="14">
    <mergeCell ref="B30:C30"/>
    <mergeCell ref="D30:E30"/>
    <mergeCell ref="B27:C27"/>
    <mergeCell ref="B28:C28"/>
    <mergeCell ref="B29:C29"/>
    <mergeCell ref="D27:E27"/>
    <mergeCell ref="D28:E28"/>
    <mergeCell ref="D29:E29"/>
    <mergeCell ref="A25:F25"/>
    <mergeCell ref="A24:F2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&amp;C38</oddFooter>
  </headerFooter>
  <drawing r:id="rId1"/>
</worksheet>
</file>

<file path=xl/worksheets/sheet25.xml><?xml version="1.0" encoding="utf-8"?>
<worksheet xmlns="http://schemas.openxmlformats.org/spreadsheetml/2006/main" xmlns:r="http://schemas.openxmlformats.org/officeDocument/2006/relationships">
  <dimension ref="A1:I35"/>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s>
  <sheetData>
    <row r="1" spans="1:8" ht="14.25">
      <c r="A1" s="1" t="s">
        <v>658</v>
      </c>
      <c r="B1" s="2"/>
      <c r="C1" s="2"/>
      <c r="D1" s="2"/>
      <c r="E1" s="2"/>
      <c r="F1" s="3"/>
      <c r="G1" s="4"/>
      <c r="H1" s="4"/>
    </row>
    <row r="2" spans="1:8" ht="14.25">
      <c r="A2" s="1" t="s">
        <v>659</v>
      </c>
      <c r="B2" s="2"/>
      <c r="C2" s="2"/>
      <c r="D2" s="2"/>
      <c r="E2" s="2"/>
      <c r="F2" s="3"/>
      <c r="G2" s="4"/>
      <c r="H2" s="4"/>
    </row>
    <row r="3" spans="1:8" ht="14.25">
      <c r="A3" s="1"/>
      <c r="B3" s="2"/>
      <c r="C3" s="2"/>
      <c r="D3" s="2"/>
      <c r="E3" s="2"/>
      <c r="F3" s="3"/>
      <c r="G3" s="4"/>
      <c r="H3" s="4"/>
    </row>
    <row r="4" spans="1:8" ht="13.5" thickBot="1">
      <c r="A4" s="4"/>
      <c r="B4" s="4"/>
      <c r="C4" s="4"/>
      <c r="D4" s="4"/>
      <c r="E4" s="4"/>
      <c r="F4" s="4"/>
      <c r="G4" s="4"/>
      <c r="H4" s="4"/>
    </row>
    <row r="5" spans="1:9" ht="18">
      <c r="A5" s="522" t="s">
        <v>707</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8" ht="15.75">
      <c r="A9" s="6"/>
      <c r="B9" s="5"/>
      <c r="C9" s="5"/>
      <c r="D9" s="5"/>
      <c r="E9" s="5"/>
      <c r="F9" s="5"/>
      <c r="G9" s="5"/>
      <c r="H9" s="5"/>
    </row>
    <row r="10" spans="1:8" ht="15">
      <c r="A10" s="2"/>
      <c r="B10" s="5"/>
      <c r="C10" s="5"/>
      <c r="D10" s="5"/>
      <c r="E10" s="5"/>
      <c r="F10" s="5"/>
      <c r="G10" s="5"/>
      <c r="H10" s="5"/>
    </row>
    <row r="11" spans="1:9" ht="15">
      <c r="A11" s="7" t="s">
        <v>661</v>
      </c>
      <c r="B11" s="527" t="s">
        <v>662</v>
      </c>
      <c r="C11" s="527"/>
      <c r="D11" s="527"/>
      <c r="E11" s="527"/>
      <c r="F11" s="527"/>
      <c r="G11" s="549" t="s">
        <v>663</v>
      </c>
      <c r="H11" s="550"/>
      <c r="I11" s="551"/>
    </row>
    <row r="12" spans="1:9" ht="15">
      <c r="A12" s="9" t="s">
        <v>664</v>
      </c>
      <c r="B12" s="10" t="s">
        <v>979</v>
      </c>
      <c r="C12" s="8" t="s">
        <v>665</v>
      </c>
      <c r="D12" s="8" t="s">
        <v>921</v>
      </c>
      <c r="E12" s="8" t="s">
        <v>665</v>
      </c>
      <c r="F12" s="8" t="s">
        <v>883</v>
      </c>
      <c r="G12" s="170" t="s">
        <v>979</v>
      </c>
      <c r="H12" s="8" t="s">
        <v>921</v>
      </c>
      <c r="I12" s="8" t="s">
        <v>883</v>
      </c>
    </row>
    <row r="13" spans="1:8" ht="15">
      <c r="A13" s="5"/>
      <c r="B13" s="11"/>
      <c r="C13" s="12"/>
      <c r="D13" s="11"/>
      <c r="E13" s="12"/>
      <c r="F13" s="12"/>
      <c r="G13" s="11"/>
      <c r="H13" s="11"/>
    </row>
    <row r="14" spans="1:9" ht="15">
      <c r="A14" s="5" t="s">
        <v>688</v>
      </c>
      <c r="B14" s="11">
        <v>787248</v>
      </c>
      <c r="C14" s="12">
        <f>+B14/$B$19</f>
        <v>0.26296103056267955</v>
      </c>
      <c r="D14" s="11">
        <v>723881</v>
      </c>
      <c r="E14" s="12">
        <f>+D14/$D$19</f>
        <v>0.2649568770357725</v>
      </c>
      <c r="F14" s="12">
        <f>+(B14-D14)/D14</f>
        <v>0.08753786879335139</v>
      </c>
      <c r="G14" s="11">
        <v>338987</v>
      </c>
      <c r="H14" s="11">
        <v>318835</v>
      </c>
      <c r="I14" s="12">
        <f>+(G14-H14)/H14</f>
        <v>0.06320510608935656</v>
      </c>
    </row>
    <row r="15" spans="1:9" ht="15">
      <c r="A15" s="5" t="s">
        <v>802</v>
      </c>
      <c r="B15" s="11">
        <v>766114</v>
      </c>
      <c r="C15" s="12">
        <f>+B15/$B$19</f>
        <v>0.25590173232386326</v>
      </c>
      <c r="D15" s="11">
        <v>692277</v>
      </c>
      <c r="E15" s="12">
        <f>+D15/$D$19</f>
        <v>0.25338909567137896</v>
      </c>
      <c r="F15" s="12">
        <f>+(B15-D15)/D15</f>
        <v>0.10665817295677886</v>
      </c>
      <c r="G15" s="11">
        <v>336398</v>
      </c>
      <c r="H15" s="11">
        <v>319531</v>
      </c>
      <c r="I15" s="12">
        <f>+(G15-H15)/H15</f>
        <v>0.05278674056664299</v>
      </c>
    </row>
    <row r="16" spans="1:9" ht="15">
      <c r="A16" s="5" t="s">
        <v>697</v>
      </c>
      <c r="B16" s="11">
        <v>710183</v>
      </c>
      <c r="C16" s="12">
        <f>+B16/$B$19</f>
        <v>0.23721934329219696</v>
      </c>
      <c r="D16" s="11">
        <v>645516</v>
      </c>
      <c r="E16" s="12">
        <f>+D16/$D$19</f>
        <v>0.23627350826534158</v>
      </c>
      <c r="F16" s="12">
        <f>+(B16-D16)/D16</f>
        <v>0.10017877171131312</v>
      </c>
      <c r="G16" s="11">
        <v>242876</v>
      </c>
      <c r="H16" s="11">
        <v>225891</v>
      </c>
      <c r="I16" s="12">
        <f>+(G16-H16)/H16</f>
        <v>0.07519113200614455</v>
      </c>
    </row>
    <row r="17" spans="1:9" ht="15">
      <c r="A17" s="5" t="s">
        <v>828</v>
      </c>
      <c r="B17" s="11">
        <v>730237</v>
      </c>
      <c r="C17" s="12">
        <f>+B17/$B$19</f>
        <v>0.2439178938212602</v>
      </c>
      <c r="D17" s="11">
        <v>670397</v>
      </c>
      <c r="E17" s="12">
        <f>+D17/$D$19</f>
        <v>0.24538051902750696</v>
      </c>
      <c r="F17" s="12">
        <f>+(B17-D17)/D17</f>
        <v>0.08926054263369317</v>
      </c>
      <c r="G17" s="11">
        <v>262753</v>
      </c>
      <c r="H17" s="11">
        <v>261021</v>
      </c>
      <c r="I17" s="12">
        <f>+(G17-H17)/H17</f>
        <v>0.006635481436359527</v>
      </c>
    </row>
    <row r="18" spans="1:8" ht="15">
      <c r="A18" s="5"/>
      <c r="B18" s="113"/>
      <c r="C18" s="12"/>
      <c r="D18" s="11"/>
      <c r="E18" s="12"/>
      <c r="F18" s="12"/>
      <c r="G18" s="11"/>
      <c r="H18" s="116"/>
    </row>
    <row r="19" spans="1:9" ht="14.25">
      <c r="A19" s="13" t="s">
        <v>674</v>
      </c>
      <c r="B19" s="14">
        <f>SUM(B14:B18)</f>
        <v>2993782</v>
      </c>
      <c r="C19" s="15">
        <f>SUM(C14:C18)</f>
        <v>0.9999999999999999</v>
      </c>
      <c r="D19" s="14">
        <f>SUM(D14:D17)</f>
        <v>2732071</v>
      </c>
      <c r="E19" s="15">
        <f>SUM(E14:E17)</f>
        <v>1</v>
      </c>
      <c r="F19" s="16">
        <f>+(B19/D19)-1</f>
        <v>0.09579216645541067</v>
      </c>
      <c r="G19" s="14">
        <f>SUM(G14:G17)</f>
        <v>1181014</v>
      </c>
      <c r="H19" s="14">
        <f>SUM(H14:H17)</f>
        <v>1125278</v>
      </c>
      <c r="I19" s="16">
        <f>+(G19-H19)/H19</f>
        <v>0.049530871482424785</v>
      </c>
    </row>
    <row r="20" spans="1:8" ht="15">
      <c r="A20" s="11"/>
      <c r="B20" s="11"/>
      <c r="C20" s="11"/>
      <c r="D20" s="11"/>
      <c r="E20" s="11"/>
      <c r="F20" s="11"/>
      <c r="G20" s="11"/>
      <c r="H20" s="11"/>
    </row>
    <row r="21" spans="1:8" ht="15">
      <c r="A21" s="69" t="s">
        <v>870</v>
      </c>
      <c r="B21" s="11"/>
      <c r="C21" s="11"/>
      <c r="D21" s="11"/>
      <c r="E21" s="11"/>
      <c r="F21" s="11"/>
      <c r="G21" s="11"/>
      <c r="H21" s="11"/>
    </row>
    <row r="22" spans="1:8" ht="12.75">
      <c r="A22" s="35"/>
      <c r="B22" s="35"/>
      <c r="C22" s="35"/>
      <c r="D22" s="35"/>
      <c r="E22" s="35"/>
      <c r="F22" s="35"/>
      <c r="G22" s="35"/>
      <c r="H22" s="35"/>
    </row>
    <row r="25" spans="2:3" ht="12.75">
      <c r="B25" t="s">
        <v>738</v>
      </c>
      <c r="C25" t="s">
        <v>737</v>
      </c>
    </row>
    <row r="26" spans="1:3" ht="12.75">
      <c r="A26">
        <v>1993</v>
      </c>
      <c r="C26" s="36">
        <v>626</v>
      </c>
    </row>
    <row r="27" spans="1:3" ht="12.75">
      <c r="A27">
        <v>1994</v>
      </c>
      <c r="C27" s="36">
        <v>961</v>
      </c>
    </row>
    <row r="28" spans="1:3" ht="12.75">
      <c r="A28">
        <v>1995</v>
      </c>
      <c r="C28" s="36">
        <v>1130</v>
      </c>
    </row>
    <row r="29" spans="1:3" ht="12.75">
      <c r="A29">
        <v>1996</v>
      </c>
      <c r="C29" s="36">
        <v>1550</v>
      </c>
    </row>
    <row r="30" spans="1:3" ht="12.75">
      <c r="A30">
        <v>1997</v>
      </c>
      <c r="B30">
        <v>742</v>
      </c>
      <c r="C30" s="36">
        <v>1736</v>
      </c>
    </row>
    <row r="31" spans="1:3" ht="12.75">
      <c r="A31">
        <v>1998</v>
      </c>
      <c r="B31" s="36">
        <v>903</v>
      </c>
      <c r="C31" s="36">
        <v>1980</v>
      </c>
    </row>
    <row r="32" spans="1:3" ht="12.75">
      <c r="A32">
        <v>1999</v>
      </c>
      <c r="B32" s="36">
        <v>1016</v>
      </c>
      <c r="C32" s="36">
        <v>2222</v>
      </c>
    </row>
    <row r="33" spans="1:3" ht="12.75">
      <c r="A33" s="80">
        <v>2000</v>
      </c>
      <c r="B33" s="36">
        <v>1031.366</v>
      </c>
      <c r="C33" s="36">
        <v>2471.604</v>
      </c>
    </row>
    <row r="34" spans="1:3" ht="12.75">
      <c r="A34" s="80">
        <v>2001</v>
      </c>
      <c r="B34" s="36">
        <v>1125.278</v>
      </c>
      <c r="C34" s="36">
        <v>2732.071</v>
      </c>
    </row>
    <row r="35" spans="1:3" ht="12.75">
      <c r="A35" s="80">
        <v>2002</v>
      </c>
      <c r="B35" s="36">
        <f>+G19/1000</f>
        <v>1181.014</v>
      </c>
      <c r="C35" s="36">
        <f>+B19/1000</f>
        <v>2993.782</v>
      </c>
    </row>
  </sheetData>
  <mergeCells count="6">
    <mergeCell ref="A5:I5"/>
    <mergeCell ref="A7:I7"/>
    <mergeCell ref="A8:I8"/>
    <mergeCell ref="B11:F11"/>
    <mergeCell ref="G11:I11"/>
    <mergeCell ref="A6:I6"/>
  </mergeCells>
  <printOptions horizontalCentered="1"/>
  <pageMargins left="0.75" right="0.75" top="1" bottom="1" header="0" footer="0"/>
  <pageSetup horizontalDpi="300" verticalDpi="300" orientation="portrait" scale="90" r:id="rId2"/>
  <headerFooter alignWithMargins="0">
    <oddFooter>&amp;C39</oddFooter>
  </headerFooter>
  <drawing r:id="rId1"/>
</worksheet>
</file>

<file path=xl/worksheets/sheet26.xml><?xml version="1.0" encoding="utf-8"?>
<worksheet xmlns="http://schemas.openxmlformats.org/spreadsheetml/2006/main" xmlns:r="http://schemas.openxmlformats.org/officeDocument/2006/relationships">
  <dimension ref="A1:L37"/>
  <sheetViews>
    <sheetView workbookViewId="0" topLeftCell="A1">
      <selection activeCell="A5" sqref="A5:F5"/>
    </sheetView>
  </sheetViews>
  <sheetFormatPr defaultColWidth="11.421875" defaultRowHeight="12.75"/>
  <cols>
    <col min="1" max="1" width="20.8515625" style="0" customWidth="1"/>
    <col min="2" max="2" width="18.8515625" style="0" bestFit="1" customWidth="1"/>
    <col min="3" max="3" width="15.28125" style="0" customWidth="1"/>
    <col min="4" max="4" width="18.8515625" style="0" bestFit="1"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707</v>
      </c>
      <c r="B5" s="523"/>
      <c r="C5" s="523"/>
      <c r="D5" s="523"/>
      <c r="E5" s="523"/>
      <c r="F5" s="524"/>
    </row>
    <row r="6" spans="1:6" ht="18.75" thickBot="1">
      <c r="A6" s="516" t="s">
        <v>905</v>
      </c>
      <c r="B6" s="517"/>
      <c r="C6" s="517"/>
      <c r="D6" s="517"/>
      <c r="E6" s="517"/>
      <c r="F6" s="518"/>
    </row>
    <row r="7" spans="1:9" ht="15.75">
      <c r="A7" s="525" t="s">
        <v>980</v>
      </c>
      <c r="B7" s="525"/>
      <c r="C7" s="525"/>
      <c r="D7" s="525"/>
      <c r="E7" s="525"/>
      <c r="F7" s="525"/>
      <c r="G7" s="108"/>
      <c r="H7" s="108"/>
      <c r="I7" s="108"/>
    </row>
    <row r="8" spans="1:9" ht="15.75">
      <c r="A8" s="526" t="s">
        <v>981</v>
      </c>
      <c r="B8" s="526"/>
      <c r="C8" s="526"/>
      <c r="D8" s="526"/>
      <c r="E8" s="526"/>
      <c r="F8" s="526"/>
      <c r="G8" s="110"/>
      <c r="H8" s="110"/>
      <c r="I8" s="110"/>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5"/>
      <c r="C14" s="20"/>
      <c r="D14" s="19"/>
      <c r="E14" s="20"/>
      <c r="F14" s="20"/>
    </row>
    <row r="15" spans="1:8" ht="15">
      <c r="A15" s="5" t="s">
        <v>688</v>
      </c>
      <c r="B15" s="131">
        <v>1153239.8975526467</v>
      </c>
      <c r="C15" s="12">
        <f>+B15/$B$20</f>
        <v>0.2547693597925626</v>
      </c>
      <c r="D15" s="131">
        <v>911178</v>
      </c>
      <c r="E15" s="12">
        <f>+D15/$D$20</f>
        <v>0.2515622247781522</v>
      </c>
      <c r="F15" s="33">
        <f>+(B15-D15)/D15</f>
        <v>0.2656581892370609</v>
      </c>
      <c r="H15" s="111"/>
    </row>
    <row r="16" spans="1:8" ht="15">
      <c r="A16" s="5" t="s">
        <v>802</v>
      </c>
      <c r="B16" s="131">
        <v>1446799.0893568583</v>
      </c>
      <c r="C16" s="12">
        <f>+B16/$B$20</f>
        <v>0.3196213368321159</v>
      </c>
      <c r="D16" s="131">
        <v>1153067</v>
      </c>
      <c r="E16" s="12">
        <f>+D16/$D$20</f>
        <v>0.31834405553938927</v>
      </c>
      <c r="F16" s="33">
        <f>+(B16-D16)/D16</f>
        <v>0.25473982809052576</v>
      </c>
      <c r="H16" s="111"/>
    </row>
    <row r="17" spans="1:8" ht="15">
      <c r="A17" s="5" t="s">
        <v>697</v>
      </c>
      <c r="B17" s="131">
        <v>694503.984063745</v>
      </c>
      <c r="C17" s="12">
        <f>+B17/$B$20</f>
        <v>0.1534271713706705</v>
      </c>
      <c r="D17" s="131">
        <v>547773</v>
      </c>
      <c r="E17" s="12">
        <f>+D17/$D$20</f>
        <v>0.15123169628042246</v>
      </c>
      <c r="F17" s="33">
        <f>+(B17-D17)/D17</f>
        <v>0.2678682302043821</v>
      </c>
      <c r="H17" s="111"/>
    </row>
    <row r="18" spans="1:8" ht="15">
      <c r="A18" s="5" t="s">
        <v>828</v>
      </c>
      <c r="B18" s="131">
        <v>1232060.6146841208</v>
      </c>
      <c r="C18" s="12">
        <f>+B18/$B$20</f>
        <v>0.2721821320046509</v>
      </c>
      <c r="D18" s="131">
        <v>1010060</v>
      </c>
      <c r="E18" s="12">
        <f>+D18/$D$20</f>
        <v>0.2788620234020361</v>
      </c>
      <c r="F18" s="33">
        <f>+(B18-D18)/D18</f>
        <v>0.21978953199227844</v>
      </c>
      <c r="H18" s="111"/>
    </row>
    <row r="19" spans="1:8" ht="15">
      <c r="A19" s="5" t="s">
        <v>686</v>
      </c>
      <c r="B19" s="113"/>
      <c r="C19" s="12"/>
      <c r="D19" s="11"/>
      <c r="E19" s="12"/>
      <c r="F19" s="12"/>
      <c r="H19" s="111"/>
    </row>
    <row r="20" spans="1:6" ht="14.25">
      <c r="A20" s="13" t="s">
        <v>674</v>
      </c>
      <c r="B20" s="21">
        <f>SUM(B15:B19)</f>
        <v>4526603.585657371</v>
      </c>
      <c r="C20" s="16">
        <f>SUM(C15:C19)</f>
        <v>1</v>
      </c>
      <c r="D20" s="21">
        <f>SUM(D15:D19)</f>
        <v>3622078</v>
      </c>
      <c r="E20" s="16">
        <f>SUM(E15:E19)</f>
        <v>1</v>
      </c>
      <c r="F20" s="16">
        <f>+(B20-D20)/D20</f>
        <v>0.24972559554415205</v>
      </c>
    </row>
    <row r="21" spans="1:6" ht="15">
      <c r="A21" s="5" t="s">
        <v>686</v>
      </c>
      <c r="B21" s="19"/>
      <c r="C21" s="20"/>
      <c r="D21" s="19"/>
      <c r="E21" s="20"/>
      <c r="F21" s="20"/>
    </row>
    <row r="22" spans="1:6" ht="12.75">
      <c r="A22" s="69" t="s">
        <v>870</v>
      </c>
      <c r="B22" s="18"/>
      <c r="C22" s="18"/>
      <c r="D22" s="18"/>
      <c r="E22" s="18"/>
      <c r="F22" s="18"/>
    </row>
    <row r="23" spans="1:12" ht="12.75">
      <c r="A23" s="172" t="s">
        <v>1027</v>
      </c>
      <c r="B23" s="172"/>
      <c r="C23" s="172"/>
      <c r="D23" s="66"/>
      <c r="E23" s="133"/>
      <c r="F23" s="66"/>
      <c r="I23" s="36"/>
      <c r="J23" s="36"/>
      <c r="K23" s="36"/>
      <c r="L23" s="36"/>
    </row>
    <row r="24" spans="1:6" ht="12.75">
      <c r="A24" s="172" t="s">
        <v>1028</v>
      </c>
      <c r="B24" s="172"/>
      <c r="C24" s="172"/>
      <c r="D24" s="66"/>
      <c r="E24" s="133"/>
      <c r="F24" s="66"/>
    </row>
    <row r="25" spans="1:8" ht="12.75" customHeight="1">
      <c r="A25" s="76"/>
      <c r="B25" s="76"/>
      <c r="C25" s="76"/>
      <c r="D25" s="76"/>
      <c r="E25" s="76"/>
      <c r="F25" s="76"/>
      <c r="G25" s="76"/>
      <c r="H25" s="76"/>
    </row>
    <row r="27" ht="12.75">
      <c r="B27" t="s">
        <v>739</v>
      </c>
    </row>
    <row r="28" spans="1:2" ht="12.75">
      <c r="A28">
        <v>1993</v>
      </c>
      <c r="B28" s="36">
        <v>29</v>
      </c>
    </row>
    <row r="29" spans="1:2" ht="12.75">
      <c r="A29">
        <v>1994</v>
      </c>
      <c r="B29" s="36">
        <v>260</v>
      </c>
    </row>
    <row r="30" spans="1:2" ht="12.75">
      <c r="A30">
        <v>1995</v>
      </c>
      <c r="B30" s="36">
        <v>583</v>
      </c>
    </row>
    <row r="31" spans="1:2" ht="12.75">
      <c r="A31">
        <v>1996</v>
      </c>
      <c r="B31" s="36">
        <v>949</v>
      </c>
    </row>
    <row r="32" spans="1:2" ht="12.75">
      <c r="A32">
        <v>1997</v>
      </c>
      <c r="B32" s="36">
        <v>1510</v>
      </c>
    </row>
    <row r="33" spans="1:2" ht="12.75">
      <c r="A33">
        <v>1998</v>
      </c>
      <c r="B33" s="36">
        <v>1734</v>
      </c>
    </row>
    <row r="34" spans="1:2" ht="12.75">
      <c r="A34">
        <v>1999</v>
      </c>
      <c r="B34" s="36">
        <v>2406</v>
      </c>
    </row>
    <row r="35" spans="1:2" ht="12.75">
      <c r="A35" s="80">
        <v>2000</v>
      </c>
      <c r="B35" s="36">
        <v>2751.734</v>
      </c>
    </row>
    <row r="36" spans="1:2" ht="12.75">
      <c r="A36" s="80">
        <v>2001</v>
      </c>
      <c r="B36" s="36">
        <v>3622.078</v>
      </c>
    </row>
    <row r="37" spans="1:2" ht="12.75">
      <c r="A37" s="80">
        <v>2002</v>
      </c>
      <c r="B37" s="36">
        <f>+B20/1000</f>
        <v>4526.603585657371</v>
      </c>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&amp;C40</oddFooter>
  </headerFooter>
  <drawing r:id="rId1"/>
</worksheet>
</file>

<file path=xl/worksheets/sheet27.xml><?xml version="1.0" encoding="utf-8"?>
<worksheet xmlns="http://schemas.openxmlformats.org/spreadsheetml/2006/main" xmlns:r="http://schemas.openxmlformats.org/officeDocument/2006/relationships">
  <dimension ref="A1:L33"/>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s>
  <sheetData>
    <row r="1" spans="1:5" ht="12.75">
      <c r="A1" s="1" t="s">
        <v>658</v>
      </c>
      <c r="B1" s="1"/>
      <c r="C1" s="1"/>
      <c r="D1" s="1"/>
      <c r="E1" s="3"/>
    </row>
    <row r="2" spans="1:5" ht="12.75">
      <c r="A2" s="1" t="s">
        <v>659</v>
      </c>
      <c r="B2" s="1"/>
      <c r="C2" s="1"/>
      <c r="D2" s="1"/>
      <c r="E2" s="3"/>
    </row>
    <row r="3" spans="1:5" ht="12.75">
      <c r="A3" s="1"/>
      <c r="B3" s="1"/>
      <c r="C3" s="1"/>
      <c r="D3" s="1"/>
      <c r="E3" s="3"/>
    </row>
    <row r="4" spans="1:5" ht="13.5" thickBot="1">
      <c r="A4" s="1"/>
      <c r="B4" s="1"/>
      <c r="C4" s="1"/>
      <c r="D4" s="1"/>
      <c r="E4" s="3"/>
    </row>
    <row r="5" spans="1:6" ht="18">
      <c r="A5" s="522" t="s">
        <v>631</v>
      </c>
      <c r="B5" s="523"/>
      <c r="C5" s="523"/>
      <c r="D5" s="523"/>
      <c r="E5" s="523"/>
      <c r="F5" s="524"/>
    </row>
    <row r="6" spans="1:6" ht="18.75" thickBot="1">
      <c r="A6" s="516" t="s">
        <v>906</v>
      </c>
      <c r="B6" s="517"/>
      <c r="C6" s="517"/>
      <c r="D6" s="517"/>
      <c r="E6" s="517"/>
      <c r="F6" s="518"/>
    </row>
    <row r="7" spans="1:9" ht="15.75">
      <c r="A7" s="510" t="s">
        <v>982</v>
      </c>
      <c r="B7" s="510"/>
      <c r="C7" s="510"/>
      <c r="D7" s="510"/>
      <c r="E7" s="510"/>
      <c r="F7" s="510"/>
      <c r="G7" s="60"/>
      <c r="H7" s="60"/>
      <c r="I7" s="60"/>
    </row>
    <row r="8" spans="1:9" ht="15.75">
      <c r="A8" s="511" t="s">
        <v>986</v>
      </c>
      <c r="B8" s="511"/>
      <c r="C8" s="511"/>
      <c r="D8" s="511"/>
      <c r="E8" s="511"/>
      <c r="F8" s="511"/>
      <c r="G8" s="117"/>
      <c r="H8" s="117"/>
      <c r="I8" s="117"/>
    </row>
    <row r="9" spans="1:5" ht="15">
      <c r="A9" s="22"/>
      <c r="B9" s="2"/>
      <c r="C9" s="2"/>
      <c r="D9" s="2"/>
      <c r="E9" s="5"/>
    </row>
    <row r="10" spans="1:5" ht="15">
      <c r="A10" s="22"/>
      <c r="B10" s="2"/>
      <c r="C10" s="2"/>
      <c r="D10" s="2"/>
      <c r="E10" s="5"/>
    </row>
    <row r="11" spans="1:6" ht="15">
      <c r="A11" s="53"/>
      <c r="B11" s="551" t="s">
        <v>662</v>
      </c>
      <c r="C11" s="527"/>
      <c r="D11" s="527"/>
      <c r="E11" s="527"/>
      <c r="F11" s="527"/>
    </row>
    <row r="12" spans="1:6" ht="15">
      <c r="A12" s="54"/>
      <c r="B12" s="170" t="s">
        <v>1030</v>
      </c>
      <c r="C12" s="8" t="s">
        <v>665</v>
      </c>
      <c r="D12" s="8" t="s">
        <v>921</v>
      </c>
      <c r="E12" s="8" t="s">
        <v>665</v>
      </c>
      <c r="F12" s="8" t="s">
        <v>883</v>
      </c>
    </row>
    <row r="13" spans="1:6" ht="14.25">
      <c r="A13" s="2" t="s">
        <v>674</v>
      </c>
      <c r="B13" s="93">
        <v>99164</v>
      </c>
      <c r="C13" s="56">
        <v>1</v>
      </c>
      <c r="D13" s="55">
        <v>80024</v>
      </c>
      <c r="E13" s="56">
        <v>1</v>
      </c>
      <c r="F13" s="56">
        <f>+(B13/D13)-1</f>
        <v>0.23917824652604214</v>
      </c>
    </row>
    <row r="14" spans="1:5" ht="15">
      <c r="A14" s="5" t="s">
        <v>686</v>
      </c>
      <c r="B14" s="28"/>
      <c r="C14" s="20"/>
      <c r="D14" s="19"/>
      <c r="E14" s="20"/>
    </row>
    <row r="15" spans="1:5" s="126" customFormat="1" ht="15">
      <c r="A15" s="136"/>
      <c r="B15" s="129"/>
      <c r="C15" s="46"/>
      <c r="D15" s="119"/>
      <c r="E15" s="46"/>
    </row>
    <row r="16" spans="1:6" ht="15">
      <c r="A16" s="53"/>
      <c r="B16" s="574" t="s">
        <v>840</v>
      </c>
      <c r="C16" s="574"/>
      <c r="D16" s="574"/>
      <c r="E16" s="574"/>
      <c r="F16" s="574"/>
    </row>
    <row r="17" spans="1:6" ht="15">
      <c r="A17" s="53"/>
      <c r="B17" s="575" t="s">
        <v>841</v>
      </c>
      <c r="C17" s="575"/>
      <c r="D17" s="575"/>
      <c r="E17" s="575"/>
      <c r="F17" s="575"/>
    </row>
    <row r="18" spans="1:6" ht="15">
      <c r="A18" s="54"/>
      <c r="B18" s="170" t="s">
        <v>1030</v>
      </c>
      <c r="C18" s="8" t="s">
        <v>665</v>
      </c>
      <c r="D18" s="8" t="s">
        <v>921</v>
      </c>
      <c r="E18" s="8" t="s">
        <v>665</v>
      </c>
      <c r="F18" s="8" t="s">
        <v>883</v>
      </c>
    </row>
    <row r="19" spans="1:6" ht="14.25">
      <c r="A19" s="2" t="s">
        <v>674</v>
      </c>
      <c r="B19" s="93">
        <v>184489</v>
      </c>
      <c r="C19" s="56">
        <v>1</v>
      </c>
      <c r="D19" s="55">
        <v>167924</v>
      </c>
      <c r="E19" s="56">
        <v>1</v>
      </c>
      <c r="F19" s="56">
        <f>+(B19/D19)-1</f>
        <v>0.09864581596436484</v>
      </c>
    </row>
    <row r="20" spans="1:5" s="126" customFormat="1" ht="15">
      <c r="A20" s="136"/>
      <c r="B20" s="129"/>
      <c r="C20" s="46"/>
      <c r="D20" s="119"/>
      <c r="E20" s="46"/>
    </row>
    <row r="21" spans="1:5" ht="15">
      <c r="A21" s="5" t="s">
        <v>686</v>
      </c>
      <c r="B21" s="5"/>
      <c r="C21" s="20"/>
      <c r="D21" s="19"/>
      <c r="E21" s="20"/>
    </row>
    <row r="22" spans="1:6" ht="12.75" customHeight="1">
      <c r="A22" s="576" t="s">
        <v>952</v>
      </c>
      <c r="B22" s="576"/>
      <c r="C22" s="576"/>
      <c r="D22" s="576"/>
      <c r="E22" s="576"/>
      <c r="F22" s="576"/>
    </row>
    <row r="23" spans="1:5" ht="12.75">
      <c r="A23" s="76"/>
      <c r="B23" s="573"/>
      <c r="C23" s="573"/>
      <c r="D23" s="573"/>
      <c r="E23" s="573"/>
    </row>
    <row r="24" spans="1:12" ht="12.75">
      <c r="A24" s="172" t="s">
        <v>1032</v>
      </c>
      <c r="B24" s="172"/>
      <c r="C24" s="172"/>
      <c r="D24" s="66"/>
      <c r="E24" s="133"/>
      <c r="F24" s="66"/>
      <c r="I24" s="36"/>
      <c r="J24" s="36"/>
      <c r="K24" s="36"/>
      <c r="L24" s="36"/>
    </row>
    <row r="25" spans="1:6" ht="12.75">
      <c r="A25" s="172" t="s">
        <v>1031</v>
      </c>
      <c r="B25" s="172"/>
      <c r="C25" s="172"/>
      <c r="D25" s="66"/>
      <c r="E25" s="133"/>
      <c r="F25" s="66"/>
    </row>
    <row r="26" spans="1:6" ht="38.25" customHeight="1">
      <c r="A26" s="556" t="s">
        <v>1029</v>
      </c>
      <c r="B26" s="556"/>
      <c r="C26" s="556"/>
      <c r="D26" s="556"/>
      <c r="E26" s="556"/>
      <c r="F26" s="556"/>
    </row>
    <row r="27" ht="12.75">
      <c r="B27" s="36"/>
    </row>
    <row r="28" ht="12.75">
      <c r="B28" s="36"/>
    </row>
    <row r="29" ht="12.75">
      <c r="B29" s="36"/>
    </row>
    <row r="30" ht="12.75">
      <c r="B30" s="36"/>
    </row>
    <row r="31" ht="12.75">
      <c r="B31" s="36"/>
    </row>
    <row r="32" ht="12.75">
      <c r="B32" s="36"/>
    </row>
    <row r="33" spans="1:2" ht="12.75">
      <c r="A33" s="80"/>
      <c r="B33" s="36"/>
    </row>
  </sheetData>
  <mergeCells count="10">
    <mergeCell ref="A26:F26"/>
    <mergeCell ref="B23:E23"/>
    <mergeCell ref="B11:F11"/>
    <mergeCell ref="A5:F5"/>
    <mergeCell ref="A7:F7"/>
    <mergeCell ref="A8:F8"/>
    <mergeCell ref="B16:F16"/>
    <mergeCell ref="B17:F17"/>
    <mergeCell ref="A22:F22"/>
    <mergeCell ref="A6:F6"/>
  </mergeCells>
  <printOptions horizontalCentered="1"/>
  <pageMargins left="0.75" right="0.75" top="1" bottom="1" header="0" footer="0"/>
  <pageSetup horizontalDpi="300" verticalDpi="300" orientation="portrait" scale="90" r:id="rId1"/>
  <headerFooter alignWithMargins="0">
    <oddFooter>&amp;C41</oddFooter>
  </headerFooter>
</worksheet>
</file>

<file path=xl/worksheets/sheet28.xml><?xml version="1.0" encoding="utf-8"?>
<worksheet xmlns="http://schemas.openxmlformats.org/spreadsheetml/2006/main" xmlns:r="http://schemas.openxmlformats.org/officeDocument/2006/relationships">
  <dimension ref="A1:I31"/>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708</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28" t="s">
        <v>663</v>
      </c>
      <c r="H11" s="514"/>
      <c r="I11" s="515"/>
    </row>
    <row r="12" spans="1:9" ht="15">
      <c r="A12" s="9" t="s">
        <v>664</v>
      </c>
      <c r="B12" s="10" t="s">
        <v>979</v>
      </c>
      <c r="C12" s="8" t="s">
        <v>665</v>
      </c>
      <c r="D12" s="8" t="s">
        <v>921</v>
      </c>
      <c r="E12" s="8" t="s">
        <v>665</v>
      </c>
      <c r="F12" s="8" t="s">
        <v>883</v>
      </c>
      <c r="G12" s="10" t="s">
        <v>979</v>
      </c>
      <c r="H12" s="8" t="s">
        <v>921</v>
      </c>
      <c r="I12" s="8" t="s">
        <v>883</v>
      </c>
    </row>
    <row r="13" spans="1:9" ht="15">
      <c r="A13" s="5"/>
      <c r="B13" s="11"/>
      <c r="C13" s="12"/>
      <c r="D13" s="11"/>
      <c r="E13" s="12"/>
      <c r="F13" s="12"/>
      <c r="G13" s="11"/>
      <c r="H13" s="11"/>
      <c r="I13" s="11"/>
    </row>
    <row r="14" spans="1:9" ht="15">
      <c r="A14" s="28" t="s">
        <v>1033</v>
      </c>
      <c r="B14" s="11">
        <v>181956</v>
      </c>
      <c r="C14" s="12">
        <f>+B14/$B$19</f>
        <v>0.2950650597407989</v>
      </c>
      <c r="D14" s="11">
        <v>177422</v>
      </c>
      <c r="E14" s="12">
        <f>+D14/$D$19</f>
        <v>0.29720720177431137</v>
      </c>
      <c r="F14" s="12">
        <f>+(B14-D14)/D14</f>
        <v>0.025554891727068797</v>
      </c>
      <c r="G14" s="11">
        <v>56976</v>
      </c>
      <c r="H14" s="11">
        <v>66813</v>
      </c>
      <c r="I14" s="132">
        <f>+(G14-H14)/H14</f>
        <v>-0.14723182614161914</v>
      </c>
    </row>
    <row r="15" spans="1:9" ht="15">
      <c r="A15" s="5" t="s">
        <v>709</v>
      </c>
      <c r="B15" s="11">
        <v>81839</v>
      </c>
      <c r="C15" s="12">
        <f>+B15/$B$19</f>
        <v>0.13271246578363582</v>
      </c>
      <c r="D15" s="11">
        <v>78907</v>
      </c>
      <c r="E15" s="12">
        <f>+D15/$D$19</f>
        <v>0.13218049999664971</v>
      </c>
      <c r="F15" s="12">
        <f>+(B15-D15)/D15</f>
        <v>0.03715766662019846</v>
      </c>
      <c r="G15" s="11">
        <v>31778</v>
      </c>
      <c r="H15" s="11">
        <v>32700</v>
      </c>
      <c r="I15" s="132">
        <f>+(G15-H15)/H15</f>
        <v>-0.02819571865443425</v>
      </c>
    </row>
    <row r="16" spans="1:9" ht="15">
      <c r="A16" s="5" t="s">
        <v>710</v>
      </c>
      <c r="B16" s="11">
        <v>235225</v>
      </c>
      <c r="C16" s="12">
        <f>+B16/$B$19</f>
        <v>0.3814475954490614</v>
      </c>
      <c r="D16" s="11">
        <v>225286</v>
      </c>
      <c r="E16" s="12">
        <f>+D16/$D$19</f>
        <v>0.37738624104636126</v>
      </c>
      <c r="F16" s="12">
        <f>+(B16-D16)/D16</f>
        <v>0.044117255399802914</v>
      </c>
      <c r="G16" s="11">
        <v>137794</v>
      </c>
      <c r="H16" s="11">
        <v>145125</v>
      </c>
      <c r="I16" s="132">
        <f>+(G16-H16)/H16</f>
        <v>-0.05051507321274763</v>
      </c>
    </row>
    <row r="17" spans="1:9" ht="15">
      <c r="A17" s="5" t="s">
        <v>1034</v>
      </c>
      <c r="B17" s="11">
        <v>117644</v>
      </c>
      <c r="C17" s="12">
        <f>+B17/$B$19</f>
        <v>0.1907748790265039</v>
      </c>
      <c r="D17" s="11">
        <v>115349</v>
      </c>
      <c r="E17" s="12">
        <f>+D17/$D$19</f>
        <v>0.19322605718267769</v>
      </c>
      <c r="F17" s="12">
        <f>+(B17-D17)/D17</f>
        <v>0.01989614127560707</v>
      </c>
      <c r="G17" s="11">
        <v>44423</v>
      </c>
      <c r="H17" s="11">
        <v>49059</v>
      </c>
      <c r="I17" s="132">
        <f>+(G17-H17)/H17</f>
        <v>-0.0944984610367109</v>
      </c>
    </row>
    <row r="18" spans="1:9" ht="15">
      <c r="A18" s="5"/>
      <c r="B18" s="11"/>
      <c r="C18" s="12"/>
      <c r="E18" s="12"/>
      <c r="F18" s="12"/>
      <c r="G18" s="11"/>
      <c r="H18" s="11"/>
      <c r="I18" s="11"/>
    </row>
    <row r="19" spans="1:9" ht="14.25">
      <c r="A19" s="13" t="s">
        <v>674</v>
      </c>
      <c r="B19" s="14">
        <f>SUM(B14:B18)</f>
        <v>616664</v>
      </c>
      <c r="C19" s="15">
        <f>SUM(C14:C18)</f>
        <v>1</v>
      </c>
      <c r="D19" s="14">
        <f>SUM(D14:D17)</f>
        <v>596964</v>
      </c>
      <c r="E19" s="15">
        <f>SUM(E14:E18)</f>
        <v>1</v>
      </c>
      <c r="F19" s="16">
        <f>+(B19/D19)-1</f>
        <v>0.03300031492686317</v>
      </c>
      <c r="G19" s="14">
        <f>SUM(G14:G18)</f>
        <v>270971</v>
      </c>
      <c r="H19" s="14">
        <f>SUM(H14:H18)</f>
        <v>293697</v>
      </c>
      <c r="I19" s="15">
        <f>+(G19/H19)-1</f>
        <v>-0.0773790675423991</v>
      </c>
    </row>
    <row r="20" spans="1:9" ht="15">
      <c r="A20" s="11"/>
      <c r="B20" s="11"/>
      <c r="C20" s="11"/>
      <c r="D20" s="11"/>
      <c r="E20" s="11"/>
      <c r="F20" s="11"/>
      <c r="G20" s="11"/>
      <c r="H20" s="11"/>
      <c r="I20" s="11"/>
    </row>
    <row r="21" spans="1:9" ht="15">
      <c r="A21" s="17" t="s">
        <v>734</v>
      </c>
      <c r="B21" s="11"/>
      <c r="C21" s="11"/>
      <c r="D21" s="11"/>
      <c r="E21" s="11"/>
      <c r="F21" s="11"/>
      <c r="G21" s="11"/>
      <c r="H21" s="11"/>
      <c r="I21" s="11"/>
    </row>
    <row r="22" spans="1:9" ht="12.75">
      <c r="A22" s="1"/>
      <c r="B22" s="1"/>
      <c r="C22" s="1"/>
      <c r="D22" s="18"/>
      <c r="E22" s="18"/>
      <c r="F22" s="18"/>
      <c r="G22" s="18"/>
      <c r="H22" s="18"/>
      <c r="I22" s="18"/>
    </row>
    <row r="24" spans="2:3" ht="12.75">
      <c r="B24" t="s">
        <v>738</v>
      </c>
      <c r="C24" t="s">
        <v>737</v>
      </c>
    </row>
    <row r="25" spans="1:3" ht="12.75">
      <c r="A25">
        <v>1996</v>
      </c>
      <c r="B25" s="36">
        <v>207</v>
      </c>
      <c r="C25" s="36">
        <v>355.604</v>
      </c>
    </row>
    <row r="26" spans="1:3" ht="12.75">
      <c r="A26">
        <v>1997</v>
      </c>
      <c r="B26" s="36">
        <v>268</v>
      </c>
      <c r="C26" s="36">
        <v>457.403</v>
      </c>
    </row>
    <row r="27" spans="1:3" ht="12.75">
      <c r="A27">
        <v>1998</v>
      </c>
      <c r="B27" s="36">
        <v>324</v>
      </c>
      <c r="C27" s="36">
        <v>506.517</v>
      </c>
    </row>
    <row r="28" spans="1:3" ht="12.75">
      <c r="A28">
        <v>1999</v>
      </c>
      <c r="B28" s="36">
        <v>299</v>
      </c>
      <c r="C28" s="36">
        <v>536.128</v>
      </c>
    </row>
    <row r="29" spans="1:3" ht="12.75">
      <c r="A29" s="80">
        <v>2000</v>
      </c>
      <c r="B29" s="36">
        <v>293.282</v>
      </c>
      <c r="C29" s="36">
        <v>577.729</v>
      </c>
    </row>
    <row r="30" spans="1:3" ht="12.75">
      <c r="A30" s="80">
        <v>2001</v>
      </c>
      <c r="B30" s="36">
        <v>293.697</v>
      </c>
      <c r="C30" s="36">
        <v>596.964</v>
      </c>
    </row>
    <row r="31" spans="1:3" ht="12.75">
      <c r="A31" s="80">
        <v>2002</v>
      </c>
      <c r="B31" s="36">
        <f>+G19/1000</f>
        <v>270.971</v>
      </c>
      <c r="C31" s="36">
        <f>+B19/1000</f>
        <v>616.664</v>
      </c>
    </row>
  </sheetData>
  <mergeCells count="6">
    <mergeCell ref="B11:F11"/>
    <mergeCell ref="G11:I11"/>
    <mergeCell ref="A5:I5"/>
    <mergeCell ref="A7:I7"/>
    <mergeCell ref="A8:I8"/>
    <mergeCell ref="A6:I6"/>
  </mergeCells>
  <printOptions horizontalCentered="1"/>
  <pageMargins left="0.75" right="0.75" top="1" bottom="1" header="0" footer="0"/>
  <pageSetup horizontalDpi="300" verticalDpi="300" orientation="portrait" scale="90" r:id="rId2"/>
  <headerFooter alignWithMargins="0">
    <oddFooter>&amp;C42</oddFooter>
  </headerFooter>
  <drawing r:id="rId1"/>
</worksheet>
</file>

<file path=xl/worksheets/sheet29.xml><?xml version="1.0" encoding="utf-8"?>
<worksheet xmlns="http://schemas.openxmlformats.org/spreadsheetml/2006/main" xmlns:r="http://schemas.openxmlformats.org/officeDocument/2006/relationships">
  <dimension ref="A1:L33"/>
  <sheetViews>
    <sheetView workbookViewId="0" topLeftCell="A1">
      <selection activeCell="A5" sqref="A5:F5"/>
    </sheetView>
  </sheetViews>
  <sheetFormatPr defaultColWidth="11.421875" defaultRowHeight="12.75"/>
  <cols>
    <col min="1" max="1" width="20.8515625" style="0" customWidth="1"/>
    <col min="2" max="2" width="18.8515625" style="0" bestFit="1" customWidth="1"/>
    <col min="3" max="3" width="15.28125" style="0" customWidth="1"/>
    <col min="4" max="4" width="18.8515625" style="0" bestFit="1"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708</v>
      </c>
      <c r="B5" s="523"/>
      <c r="C5" s="523"/>
      <c r="D5" s="523"/>
      <c r="E5" s="523"/>
      <c r="F5" s="524"/>
    </row>
    <row r="6" spans="1:6" ht="18.75" thickBot="1">
      <c r="A6" s="516" t="s">
        <v>905</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19"/>
      <c r="C14" s="20"/>
      <c r="D14" s="19"/>
      <c r="E14" s="20"/>
      <c r="F14" s="20"/>
    </row>
    <row r="15" spans="1:6" ht="15">
      <c r="A15" s="28" t="s">
        <v>1033</v>
      </c>
      <c r="B15" s="131">
        <v>159225</v>
      </c>
      <c r="C15" s="12">
        <f>+B15/$B$20</f>
        <v>0.17823082192700848</v>
      </c>
      <c r="D15" s="131">
        <v>190600</v>
      </c>
      <c r="E15" s="12">
        <f>+D15/$D$20</f>
        <v>0.18232255595944136</v>
      </c>
      <c r="F15" s="12">
        <f>+(B15-D15)/D15</f>
        <v>-0.16461175236096537</v>
      </c>
    </row>
    <row r="16" spans="1:6" ht="15">
      <c r="A16" s="5" t="s">
        <v>709</v>
      </c>
      <c r="B16" s="131">
        <v>75488</v>
      </c>
      <c r="C16" s="12">
        <f>+B16/$B$20</f>
        <v>0.08449859183938462</v>
      </c>
      <c r="D16" s="131">
        <v>87180</v>
      </c>
      <c r="E16" s="12">
        <f>+D16/$D$20</f>
        <v>0.08339391620432371</v>
      </c>
      <c r="F16" s="12">
        <f>+(B16-D16)/D16</f>
        <v>-0.13411332874512502</v>
      </c>
    </row>
    <row r="17" spans="1:6" ht="15">
      <c r="A17" s="5" t="s">
        <v>710</v>
      </c>
      <c r="B17" s="131">
        <v>508058</v>
      </c>
      <c r="C17" s="12">
        <f>+B17/$B$20</f>
        <v>0.5687021191809833</v>
      </c>
      <c r="D17" s="131">
        <v>590190</v>
      </c>
      <c r="E17" s="12">
        <f>+D17/$D$20</f>
        <v>0.5645590204706332</v>
      </c>
      <c r="F17" s="12">
        <f>+(B17-D17)/D17</f>
        <v>-0.13916196479099951</v>
      </c>
    </row>
    <row r="18" spans="1:6" ht="15">
      <c r="A18" s="5" t="s">
        <v>1034</v>
      </c>
      <c r="B18" s="131">
        <v>150593</v>
      </c>
      <c r="C18" s="12">
        <f>+B18/$B$20</f>
        <v>0.16856846705262357</v>
      </c>
      <c r="D18" s="131">
        <v>177430</v>
      </c>
      <c r="E18" s="12">
        <f>+D18/$D$20</f>
        <v>0.16972450736560168</v>
      </c>
      <c r="F18" s="12">
        <f>+(B18-D18)/D18</f>
        <v>-0.15125401566815083</v>
      </c>
    </row>
    <row r="19" spans="1:6" ht="15">
      <c r="A19" s="5" t="s">
        <v>686</v>
      </c>
      <c r="B19" s="27"/>
      <c r="C19" s="12"/>
      <c r="D19" s="11"/>
      <c r="E19" s="12"/>
      <c r="F19" s="12"/>
    </row>
    <row r="20" spans="1:6" ht="14.25">
      <c r="A20" s="13" t="s">
        <v>674</v>
      </c>
      <c r="B20" s="21">
        <f>SUM(B15:B19)</f>
        <v>893364</v>
      </c>
      <c r="C20" s="16">
        <f>SUM(C15:C19)</f>
        <v>1</v>
      </c>
      <c r="D20" s="21">
        <f>SUM(D15:D19)</f>
        <v>1045400</v>
      </c>
      <c r="E20" s="16">
        <f>SUM(E15:E19)</f>
        <v>1</v>
      </c>
      <c r="F20" s="16">
        <f>+(B20/D20)-1</f>
        <v>-0.14543332695618905</v>
      </c>
    </row>
    <row r="21" spans="1:6" ht="15">
      <c r="A21" s="5" t="s">
        <v>686</v>
      </c>
      <c r="B21" s="19"/>
      <c r="C21" s="20"/>
      <c r="D21" s="19"/>
      <c r="E21" s="20"/>
      <c r="F21" s="20"/>
    </row>
    <row r="22" spans="1:6" ht="12.75">
      <c r="A22" s="17" t="s">
        <v>734</v>
      </c>
      <c r="B22" s="18"/>
      <c r="C22" s="18"/>
      <c r="D22" s="18"/>
      <c r="E22" s="18"/>
      <c r="F22" s="18"/>
    </row>
    <row r="23" spans="1:12" ht="12.75">
      <c r="A23" s="172" t="s">
        <v>1035</v>
      </c>
      <c r="B23" s="172"/>
      <c r="C23" s="172"/>
      <c r="D23" s="66"/>
      <c r="E23" s="133"/>
      <c r="F23" s="66"/>
      <c r="I23" s="36"/>
      <c r="J23" s="36"/>
      <c r="K23" s="36"/>
      <c r="L23" s="36"/>
    </row>
    <row r="24" spans="1:6" ht="12.75">
      <c r="A24" s="172" t="s">
        <v>1036</v>
      </c>
      <c r="B24" s="172"/>
      <c r="C24" s="172"/>
      <c r="D24" s="66"/>
      <c r="E24" s="133"/>
      <c r="F24" s="66"/>
    </row>
    <row r="25" spans="1:9" ht="12.75">
      <c r="A25" s="171"/>
      <c r="B25" s="171"/>
      <c r="C25" s="171"/>
      <c r="D25" s="171"/>
      <c r="E25" s="171"/>
      <c r="F25" s="171"/>
      <c r="G25" s="143"/>
      <c r="H25" s="143"/>
      <c r="I25" s="143"/>
    </row>
    <row r="26" ht="12.75">
      <c r="B26" t="s">
        <v>739</v>
      </c>
    </row>
    <row r="27" spans="1:2" ht="12.75">
      <c r="A27">
        <v>1996</v>
      </c>
      <c r="B27">
        <v>50.355</v>
      </c>
    </row>
    <row r="28" spans="1:2" ht="12.75">
      <c r="A28">
        <v>1997</v>
      </c>
      <c r="B28">
        <v>190.502</v>
      </c>
    </row>
    <row r="29" spans="1:2" ht="12.75">
      <c r="A29">
        <v>1998</v>
      </c>
      <c r="B29">
        <v>374.346</v>
      </c>
    </row>
    <row r="30" spans="1:2" ht="12.75">
      <c r="A30">
        <v>1999</v>
      </c>
      <c r="B30">
        <v>591.161</v>
      </c>
    </row>
    <row r="31" spans="1:2" ht="12.75">
      <c r="A31" s="80">
        <v>2000</v>
      </c>
      <c r="B31">
        <v>811.026</v>
      </c>
    </row>
    <row r="32" spans="1:2" ht="12.75">
      <c r="A32" s="80">
        <v>2001</v>
      </c>
      <c r="B32">
        <v>1045.4</v>
      </c>
    </row>
    <row r="33" spans="1:2" ht="12.75">
      <c r="A33" s="80">
        <v>2002</v>
      </c>
      <c r="B33">
        <f>+B20/1000</f>
        <v>893.364</v>
      </c>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&amp;C43</oddFooter>
  </headerFooter>
  <drawing r:id="rId1"/>
</worksheet>
</file>

<file path=xl/worksheets/sheet3.xml><?xml version="1.0" encoding="utf-8"?>
<worksheet xmlns="http://schemas.openxmlformats.org/spreadsheetml/2006/main" xmlns:r="http://schemas.openxmlformats.org/officeDocument/2006/relationships">
  <dimension ref="B5:C8"/>
  <sheetViews>
    <sheetView workbookViewId="0" topLeftCell="A1">
      <selection activeCell="B5" sqref="B5:C5"/>
    </sheetView>
  </sheetViews>
  <sheetFormatPr defaultColWidth="11.421875" defaultRowHeight="12.75"/>
  <cols>
    <col min="2" max="2" width="17.8515625" style="0" customWidth="1"/>
    <col min="3" max="3" width="35.421875" style="0" customWidth="1"/>
  </cols>
  <sheetData>
    <row r="4" ht="13.5" thickBot="1"/>
    <row r="5" spans="2:3" ht="30">
      <c r="B5" s="534" t="s">
        <v>765</v>
      </c>
      <c r="C5" s="535"/>
    </row>
    <row r="6" spans="2:3" ht="33.75" customHeight="1">
      <c r="B6" s="536" t="s">
        <v>766</v>
      </c>
      <c r="C6" s="537"/>
    </row>
    <row r="7" spans="2:3" ht="30">
      <c r="B7" s="538" t="s">
        <v>779</v>
      </c>
      <c r="C7" s="529"/>
    </row>
    <row r="8" spans="2:3" ht="30.75" thickBot="1">
      <c r="B8" s="530" t="s">
        <v>780</v>
      </c>
      <c r="C8" s="531"/>
    </row>
  </sheetData>
  <mergeCells count="4">
    <mergeCell ref="B5:C5"/>
    <mergeCell ref="B6:C6"/>
    <mergeCell ref="B7:C7"/>
    <mergeCell ref="B8:C8"/>
  </mergeCells>
  <printOptions horizontalCentered="1"/>
  <pageMargins left="0.75" right="0.75" top="1.56" bottom="1" header="0" footer="0"/>
  <pageSetup horizontalDpi="300" verticalDpi="300" orientation="portrait" scale="90" r:id="rId1"/>
  <headerFooter alignWithMargins="0">
    <oddFooter>&amp;C17</oddFooter>
  </headerFooter>
</worksheet>
</file>

<file path=xl/worksheets/sheet30.xml><?xml version="1.0" encoding="utf-8"?>
<worksheet xmlns="http://schemas.openxmlformats.org/spreadsheetml/2006/main" xmlns:r="http://schemas.openxmlformats.org/officeDocument/2006/relationships">
  <dimension ref="B5:C8"/>
  <sheetViews>
    <sheetView workbookViewId="0" topLeftCell="A1">
      <selection activeCell="D16" sqref="D16"/>
    </sheetView>
  </sheetViews>
  <sheetFormatPr defaultColWidth="11.421875" defaultRowHeight="12.75"/>
  <cols>
    <col min="3" max="3" width="22.421875" style="0" customWidth="1"/>
  </cols>
  <sheetData>
    <row r="4" ht="13.5" thickBot="1"/>
    <row r="5" spans="2:3" ht="30">
      <c r="B5" s="534" t="s">
        <v>765</v>
      </c>
      <c r="C5" s="535"/>
    </row>
    <row r="6" spans="2:3" ht="30">
      <c r="B6" s="536" t="s">
        <v>767</v>
      </c>
      <c r="C6" s="537"/>
    </row>
    <row r="7" spans="2:3" ht="30">
      <c r="B7" s="538" t="s">
        <v>781</v>
      </c>
      <c r="C7" s="529"/>
    </row>
    <row r="8" spans="2:3" ht="30.75" thickBot="1">
      <c r="B8" s="530" t="s">
        <v>780</v>
      </c>
      <c r="C8" s="531"/>
    </row>
  </sheetData>
  <mergeCells count="4">
    <mergeCell ref="B5:C5"/>
    <mergeCell ref="B6:C6"/>
    <mergeCell ref="B7:C7"/>
    <mergeCell ref="B8:C8"/>
  </mergeCells>
  <printOptions horizontalCentered="1"/>
  <pageMargins left="0.75" right="0.75" top="1.68" bottom="1" header="0" footer="0"/>
  <pageSetup horizontalDpi="300" verticalDpi="300" orientation="portrait" scale="90" r:id="rId1"/>
  <headerFooter alignWithMargins="0">
    <oddFooter>&amp;C44</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A5" sqref="A5:F5"/>
    </sheetView>
  </sheetViews>
  <sheetFormatPr defaultColWidth="11.421875" defaultRowHeight="12.75"/>
  <cols>
    <col min="1" max="1" width="48.8515625" style="0" customWidth="1"/>
    <col min="2" max="2" width="12.8515625" style="0" customWidth="1"/>
    <col min="3" max="3" width="9.421875" style="0" bestFit="1" customWidth="1"/>
    <col min="4" max="4" width="12.8515625" style="0" customWidth="1"/>
    <col min="5" max="5" width="9.421875" style="0" bestFit="1" customWidth="1"/>
    <col min="6" max="6" width="11.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831</v>
      </c>
      <c r="B5" s="523"/>
      <c r="C5" s="523"/>
      <c r="D5" s="523"/>
      <c r="E5" s="523"/>
      <c r="F5" s="524"/>
    </row>
    <row r="6" spans="1:6" ht="18.75" thickBot="1">
      <c r="A6" s="516" t="s">
        <v>905</v>
      </c>
      <c r="B6" s="517"/>
      <c r="C6" s="517"/>
      <c r="D6" s="517"/>
      <c r="E6" s="517"/>
      <c r="F6" s="518"/>
    </row>
    <row r="7" spans="1:6" ht="15.75">
      <c r="A7" s="510" t="s">
        <v>1078</v>
      </c>
      <c r="B7" s="510"/>
      <c r="C7" s="510"/>
      <c r="D7" s="510"/>
      <c r="E7" s="510"/>
      <c r="F7" s="510"/>
    </row>
    <row r="8" spans="1:6" ht="15.75">
      <c r="A8" s="511" t="s">
        <v>1079</v>
      </c>
      <c r="B8" s="511"/>
      <c r="C8" s="511"/>
      <c r="D8" s="511"/>
      <c r="E8" s="511"/>
      <c r="F8" s="511"/>
    </row>
    <row r="9" spans="1:6" ht="15.75">
      <c r="A9" s="6"/>
      <c r="B9" s="5"/>
      <c r="C9" s="5"/>
      <c r="D9" s="5"/>
      <c r="E9" s="5"/>
      <c r="F9" s="5"/>
    </row>
    <row r="10" spans="1:6" ht="15">
      <c r="A10" s="2"/>
      <c r="B10" s="5"/>
      <c r="C10" s="5"/>
      <c r="D10" s="5"/>
      <c r="E10" s="5"/>
      <c r="F10" s="5"/>
    </row>
    <row r="11" spans="1:8" ht="14.25">
      <c r="A11" s="7" t="s">
        <v>661</v>
      </c>
      <c r="B11" s="527" t="s">
        <v>832</v>
      </c>
      <c r="C11" s="527"/>
      <c r="D11" s="527"/>
      <c r="E11" s="527"/>
      <c r="F11" s="527"/>
      <c r="H11" s="215" t="s">
        <v>739</v>
      </c>
    </row>
    <row r="12" spans="1:8" ht="15">
      <c r="A12" s="9" t="s">
        <v>664</v>
      </c>
      <c r="B12" s="170" t="s">
        <v>882</v>
      </c>
      <c r="C12" s="173" t="s">
        <v>665</v>
      </c>
      <c r="D12" s="173" t="s">
        <v>823</v>
      </c>
      <c r="E12" s="8" t="s">
        <v>665</v>
      </c>
      <c r="F12" s="8" t="s">
        <v>883</v>
      </c>
      <c r="H12" s="215" t="s">
        <v>1037</v>
      </c>
    </row>
    <row r="13" spans="1:8" ht="15">
      <c r="A13" s="5"/>
      <c r="B13" s="11"/>
      <c r="C13" s="12"/>
      <c r="D13" s="11"/>
      <c r="E13" s="12"/>
      <c r="F13" s="12"/>
      <c r="H13" s="42" t="s">
        <v>1038</v>
      </c>
    </row>
    <row r="14" spans="1:6" ht="15">
      <c r="A14" s="5" t="s">
        <v>909</v>
      </c>
      <c r="B14" s="11">
        <v>363338</v>
      </c>
      <c r="C14" s="12">
        <f aca="true" t="shared" si="0" ref="C14:C21">+B14/$B$23</f>
        <v>0.2843047039565317</v>
      </c>
      <c r="D14" s="11">
        <v>84747</v>
      </c>
      <c r="E14" s="12">
        <f aca="true" t="shared" si="1" ref="E14:E21">+D14/$D$23</f>
        <v>0.20794717586696798</v>
      </c>
      <c r="F14" s="12">
        <f aca="true" t="shared" si="2" ref="F14:F21">+(B14-D14)/D14</f>
        <v>3.2873258050432463</v>
      </c>
    </row>
    <row r="15" spans="1:6" ht="15">
      <c r="A15" s="5" t="s">
        <v>833</v>
      </c>
      <c r="B15" s="11">
        <v>141014</v>
      </c>
      <c r="C15" s="12">
        <f t="shared" si="0"/>
        <v>0.11034062917648679</v>
      </c>
      <c r="D15" s="11">
        <v>23374</v>
      </c>
      <c r="E15" s="12">
        <f t="shared" si="1"/>
        <v>0.057353738642247035</v>
      </c>
      <c r="F15" s="12">
        <f t="shared" si="2"/>
        <v>5.032942585779071</v>
      </c>
    </row>
    <row r="16" spans="1:6" ht="15">
      <c r="A16" s="5" t="s">
        <v>935</v>
      </c>
      <c r="B16" s="11">
        <v>103513</v>
      </c>
      <c r="C16" s="12">
        <f t="shared" si="0"/>
        <v>0.08099684817071835</v>
      </c>
      <c r="D16" s="11">
        <v>25899</v>
      </c>
      <c r="E16" s="12">
        <f t="shared" si="1"/>
        <v>0.06354943429004689</v>
      </c>
      <c r="F16" s="12">
        <f t="shared" si="2"/>
        <v>2.9967952430595775</v>
      </c>
    </row>
    <row r="17" spans="1:6" ht="15">
      <c r="A17" s="5" t="s">
        <v>834</v>
      </c>
      <c r="B17" s="11">
        <v>59162</v>
      </c>
      <c r="C17" s="12">
        <f t="shared" si="0"/>
        <v>0.04629307943423569</v>
      </c>
      <c r="D17" s="11">
        <v>15617</v>
      </c>
      <c r="E17" s="12">
        <f t="shared" si="1"/>
        <v>0.038320070864035764</v>
      </c>
      <c r="F17" s="12">
        <f t="shared" si="2"/>
        <v>2.788307613498111</v>
      </c>
    </row>
    <row r="18" spans="1:6" ht="15">
      <c r="A18" s="5" t="s">
        <v>910</v>
      </c>
      <c r="B18" s="11">
        <v>420513</v>
      </c>
      <c r="C18" s="12">
        <f t="shared" si="0"/>
        <v>0.3290429957088799</v>
      </c>
      <c r="D18" s="11">
        <v>220525</v>
      </c>
      <c r="E18" s="12">
        <f t="shared" si="1"/>
        <v>0.5411112010816089</v>
      </c>
      <c r="F18" s="12">
        <f t="shared" si="2"/>
        <v>0.9068722367078562</v>
      </c>
    </row>
    <row r="19" spans="1:6" ht="15">
      <c r="A19" s="5" t="s">
        <v>835</v>
      </c>
      <c r="B19" s="11">
        <v>70733</v>
      </c>
      <c r="C19" s="12">
        <f t="shared" si="0"/>
        <v>0.05534715505935893</v>
      </c>
      <c r="D19" s="11">
        <v>10354</v>
      </c>
      <c r="E19" s="12">
        <f t="shared" si="1"/>
        <v>0.02540603276725532</v>
      </c>
      <c r="F19" s="12">
        <f t="shared" si="2"/>
        <v>5.831466100057948</v>
      </c>
    </row>
    <row r="20" spans="1:6" ht="15">
      <c r="A20" s="5" t="s">
        <v>836</v>
      </c>
      <c r="B20" s="11">
        <v>64655</v>
      </c>
      <c r="C20" s="12">
        <f t="shared" si="0"/>
        <v>0.050591241858296006</v>
      </c>
      <c r="D20" s="11">
        <v>14547</v>
      </c>
      <c r="E20" s="12">
        <f t="shared" si="1"/>
        <v>0.035694568153878996</v>
      </c>
      <c r="F20" s="12">
        <f t="shared" si="2"/>
        <v>3.444559015604592</v>
      </c>
    </row>
    <row r="21" spans="1:6" ht="15">
      <c r="A21" s="5" t="s">
        <v>837</v>
      </c>
      <c r="B21" s="11">
        <v>55060</v>
      </c>
      <c r="C21" s="12">
        <f t="shared" si="0"/>
        <v>0.04308334663549267</v>
      </c>
      <c r="D21" s="11">
        <v>12478</v>
      </c>
      <c r="E21" s="12">
        <f t="shared" si="1"/>
        <v>0.030617778333959036</v>
      </c>
      <c r="F21" s="12">
        <f t="shared" si="2"/>
        <v>3.4125661163648022</v>
      </c>
    </row>
    <row r="22" spans="1:6" ht="15">
      <c r="A22" s="5"/>
      <c r="B22" s="11"/>
      <c r="C22" s="12"/>
      <c r="D22" s="11"/>
      <c r="E22" s="12"/>
      <c r="F22" s="12"/>
    </row>
    <row r="23" spans="1:6" ht="14.25">
      <c r="A23" s="13" t="s">
        <v>674</v>
      </c>
      <c r="B23" s="14">
        <f>SUM(B14:B22)</f>
        <v>1277988</v>
      </c>
      <c r="C23" s="15">
        <f>SUM(C14:C22)</f>
        <v>1</v>
      </c>
      <c r="D23" s="14">
        <f>SUM(D14:D22)</f>
        <v>407541</v>
      </c>
      <c r="E23" s="15">
        <f>SUM(E14:E22)</f>
        <v>0.9999999999999999</v>
      </c>
      <c r="F23" s="16">
        <f>+(B23/D23)-1</f>
        <v>2.1358513621942334</v>
      </c>
    </row>
    <row r="24" spans="1:6" ht="15">
      <c r="A24" s="11"/>
      <c r="B24" s="11"/>
      <c r="C24" s="11"/>
      <c r="D24" s="11"/>
      <c r="E24" s="11"/>
      <c r="F24" s="11"/>
    </row>
    <row r="25" spans="1:6" ht="15">
      <c r="A25" s="17" t="s">
        <v>838</v>
      </c>
      <c r="B25" s="11"/>
      <c r="C25" s="11"/>
      <c r="D25" s="11"/>
      <c r="E25" s="11"/>
      <c r="F25" s="11"/>
    </row>
    <row r="26" spans="1:6" ht="15">
      <c r="A26" s="17"/>
      <c r="B26" s="11"/>
      <c r="C26" s="11"/>
      <c r="D26" s="11"/>
      <c r="E26" s="11"/>
      <c r="F26" s="11"/>
    </row>
    <row r="27" ht="12.75">
      <c r="A27" s="66" t="s">
        <v>972</v>
      </c>
    </row>
    <row r="29" spans="2:3" ht="12.75">
      <c r="B29" s="36"/>
      <c r="C29" s="36"/>
    </row>
    <row r="30" spans="2:3" ht="12.75">
      <c r="B30" s="36"/>
      <c r="C30" s="36"/>
    </row>
    <row r="31" spans="2:3" ht="12.75">
      <c r="B31" s="36"/>
      <c r="C31" s="36"/>
    </row>
    <row r="32" spans="2:3" ht="12.75">
      <c r="B32" s="36"/>
      <c r="C32" s="36"/>
    </row>
    <row r="33" spans="1:3" ht="12.75">
      <c r="A33" s="80"/>
      <c r="B33" s="36"/>
      <c r="C33" s="36"/>
    </row>
    <row r="34" spans="1:3" ht="12.75">
      <c r="A34" s="80"/>
      <c r="B34" s="36"/>
      <c r="C34" s="36"/>
    </row>
  </sheetData>
  <mergeCells count="5">
    <mergeCell ref="B11:F11"/>
    <mergeCell ref="A5:F5"/>
    <mergeCell ref="A7:F7"/>
    <mergeCell ref="A8:F8"/>
    <mergeCell ref="A6:F6"/>
  </mergeCells>
  <printOptions horizontalCentered="1"/>
  <pageMargins left="0.75" right="0.75" top="1" bottom="1" header="0" footer="0"/>
  <pageSetup fitToHeight="1" fitToWidth="1" horizontalDpi="300" verticalDpi="300" orientation="portrait" r:id="rId1"/>
  <headerFooter alignWithMargins="0">
    <oddFooter>&amp;C45</oddFooter>
  </headerFooter>
</worksheet>
</file>

<file path=xl/worksheets/sheet32.xml><?xml version="1.0" encoding="utf-8"?>
<worksheet xmlns="http://schemas.openxmlformats.org/spreadsheetml/2006/main" xmlns:r="http://schemas.openxmlformats.org/officeDocument/2006/relationships">
  <dimension ref="A1:L32"/>
  <sheetViews>
    <sheetView workbookViewId="0" topLeftCell="A1">
      <selection activeCell="A5" sqref="A5:F5"/>
    </sheetView>
  </sheetViews>
  <sheetFormatPr defaultColWidth="11.421875" defaultRowHeight="12.75"/>
  <cols>
    <col min="1" max="1" width="43.8515625" style="0" customWidth="1"/>
    <col min="2" max="2" width="16.8515625" style="0" customWidth="1"/>
    <col min="3" max="3" width="14.00390625" style="0" bestFit="1" customWidth="1"/>
    <col min="4" max="4" width="16.8515625" style="0" customWidth="1"/>
    <col min="5" max="5" width="14.00390625" style="0" bestFit="1" customWidth="1"/>
    <col min="6" max="6" width="9.7109375" style="0" customWidth="1"/>
    <col min="8" max="8" width="7.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831</v>
      </c>
      <c r="B5" s="523"/>
      <c r="C5" s="523"/>
      <c r="D5" s="523"/>
      <c r="E5" s="523"/>
      <c r="F5" s="524"/>
    </row>
    <row r="6" spans="1:6" ht="18.75" thickBot="1">
      <c r="A6" s="516" t="s">
        <v>905</v>
      </c>
      <c r="B6" s="517"/>
      <c r="C6" s="517"/>
      <c r="D6" s="517"/>
      <c r="E6" s="517"/>
      <c r="F6" s="518"/>
    </row>
    <row r="7" spans="1:6" ht="15.75">
      <c r="A7" s="510" t="s">
        <v>878</v>
      </c>
      <c r="B7" s="510"/>
      <c r="C7" s="510"/>
      <c r="D7" s="510"/>
      <c r="E7" s="510"/>
      <c r="F7" s="510"/>
    </row>
    <row r="8" spans="1:6" ht="15.75">
      <c r="A8" s="511" t="s">
        <v>879</v>
      </c>
      <c r="B8" s="511"/>
      <c r="C8" s="511"/>
      <c r="D8" s="511"/>
      <c r="E8" s="511"/>
      <c r="F8" s="511"/>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12" ht="15">
      <c r="A13" s="9"/>
      <c r="B13" s="122" t="s">
        <v>882</v>
      </c>
      <c r="C13" s="227" t="s">
        <v>716</v>
      </c>
      <c r="D13" s="218" t="s">
        <v>823</v>
      </c>
      <c r="E13" s="9" t="s">
        <v>716</v>
      </c>
      <c r="F13" s="26"/>
      <c r="I13" s="42" t="s">
        <v>855</v>
      </c>
      <c r="J13" s="42">
        <v>2.1319</v>
      </c>
      <c r="K13" s="42" t="s">
        <v>797</v>
      </c>
      <c r="L13" s="42">
        <v>2.1119</v>
      </c>
    </row>
    <row r="14" spans="1:12" ht="15">
      <c r="A14" s="5" t="s">
        <v>686</v>
      </c>
      <c r="B14" s="19"/>
      <c r="C14" s="20"/>
      <c r="D14" s="19"/>
      <c r="E14" s="20"/>
      <c r="F14" s="20"/>
      <c r="I14" s="42" t="s">
        <v>839</v>
      </c>
      <c r="J14" s="42" t="s">
        <v>741</v>
      </c>
      <c r="K14" s="42" t="s">
        <v>839</v>
      </c>
      <c r="L14" s="42" t="s">
        <v>741</v>
      </c>
    </row>
    <row r="15" spans="1:12" ht="15">
      <c r="A15" s="5" t="s">
        <v>960</v>
      </c>
      <c r="B15" s="131">
        <v>28430</v>
      </c>
      <c r="C15" s="12">
        <f aca="true" t="shared" si="0" ref="C15:C22">+B15/$B$24</f>
        <v>0.2349004379079567</v>
      </c>
      <c r="D15" s="31">
        <v>9033.05249513934</v>
      </c>
      <c r="E15" s="12">
        <f aca="true" t="shared" si="1" ref="E15:E22">+D15/$D$24</f>
        <v>0.20445344129554657</v>
      </c>
      <c r="F15" s="12">
        <f aca="true" t="shared" si="2" ref="F15:F22">+(B15-D15)/D15</f>
        <v>2.1473303199885203</v>
      </c>
      <c r="I15" s="131">
        <v>21322</v>
      </c>
      <c r="J15" s="131">
        <f aca="true" t="shared" si="3" ref="J15:J22">+I15/$J$13</f>
        <v>10001.40719545945</v>
      </c>
      <c r="K15" s="131">
        <v>18830</v>
      </c>
      <c r="L15" s="131">
        <f aca="true" t="shared" si="4" ref="L15:L22">+K15/$L$13</f>
        <v>8916.141862777595</v>
      </c>
    </row>
    <row r="16" spans="1:12" ht="15">
      <c r="A16" s="5" t="s">
        <v>961</v>
      </c>
      <c r="B16" s="131">
        <v>10010</v>
      </c>
      <c r="C16" s="12">
        <f t="shared" si="0"/>
        <v>0.08270676691729323</v>
      </c>
      <c r="D16" s="31">
        <v>2245.8414344350836</v>
      </c>
      <c r="E16" s="12">
        <f t="shared" si="1"/>
        <v>0.05083220872694557</v>
      </c>
      <c r="F16" s="12">
        <f t="shared" si="2"/>
        <v>3.457126779530588</v>
      </c>
      <c r="I16" s="131">
        <v>5316</v>
      </c>
      <c r="J16" s="131">
        <f t="shared" si="3"/>
        <v>2493.550354144191</v>
      </c>
      <c r="K16" s="131">
        <v>4918</v>
      </c>
      <c r="L16" s="131">
        <f t="shared" si="4"/>
        <v>2328.7087456792465</v>
      </c>
    </row>
    <row r="17" spans="1:12" ht="15">
      <c r="A17" s="5" t="s">
        <v>962</v>
      </c>
      <c r="B17" s="131">
        <v>7482</v>
      </c>
      <c r="C17" s="12">
        <f t="shared" si="0"/>
        <v>0.0618193836238949</v>
      </c>
      <c r="D17" s="31">
        <v>4691.726074746166</v>
      </c>
      <c r="E17" s="12">
        <f t="shared" si="1"/>
        <v>0.10619218056288994</v>
      </c>
      <c r="F17" s="12">
        <f t="shared" si="2"/>
        <v>0.5947222580348097</v>
      </c>
      <c r="I17" s="131">
        <v>10907</v>
      </c>
      <c r="J17" s="131">
        <f t="shared" si="3"/>
        <v>5116.093625404569</v>
      </c>
      <c r="K17" s="131">
        <v>9884</v>
      </c>
      <c r="L17" s="131">
        <f t="shared" si="4"/>
        <v>4680.145840238648</v>
      </c>
    </row>
    <row r="18" spans="1:12" ht="15">
      <c r="A18" s="5" t="s">
        <v>963</v>
      </c>
      <c r="B18" s="131">
        <v>5877</v>
      </c>
      <c r="C18" s="12">
        <f t="shared" si="0"/>
        <v>0.04855820870858465</v>
      </c>
      <c r="D18" s="31">
        <v>1922.2294232015556</v>
      </c>
      <c r="E18" s="12">
        <f t="shared" si="1"/>
        <v>0.04350759842750689</v>
      </c>
      <c r="F18" s="12">
        <f t="shared" si="2"/>
        <v>2.057387390424814</v>
      </c>
      <c r="I18" s="131">
        <v>5482</v>
      </c>
      <c r="J18" s="131">
        <f t="shared" si="3"/>
        <v>2571.415169567053</v>
      </c>
      <c r="K18" s="131">
        <v>2833</v>
      </c>
      <c r="L18" s="131">
        <f t="shared" si="4"/>
        <v>1341.4460911975</v>
      </c>
    </row>
    <row r="19" spans="1:12" ht="15">
      <c r="A19" s="5" t="s">
        <v>964</v>
      </c>
      <c r="B19" s="131">
        <v>53695</v>
      </c>
      <c r="C19" s="12">
        <f t="shared" si="0"/>
        <v>0.44365033462777825</v>
      </c>
      <c r="D19" s="31">
        <v>24573.341974508534</v>
      </c>
      <c r="E19" s="12">
        <f t="shared" si="1"/>
        <v>0.5561912026442919</v>
      </c>
      <c r="F19" s="12">
        <f t="shared" si="2"/>
        <v>1.1850914725274724</v>
      </c>
      <c r="I19" s="131">
        <v>64853</v>
      </c>
      <c r="J19" s="131">
        <f t="shared" si="3"/>
        <v>30420.282377222196</v>
      </c>
      <c r="K19" s="131">
        <v>46843</v>
      </c>
      <c r="L19" s="131">
        <f t="shared" si="4"/>
        <v>22180.5009706899</v>
      </c>
    </row>
    <row r="20" spans="1:12" ht="15">
      <c r="A20" s="5" t="s">
        <v>965</v>
      </c>
      <c r="B20" s="131">
        <v>5143</v>
      </c>
      <c r="C20" s="12">
        <f t="shared" si="0"/>
        <v>0.042493596628934975</v>
      </c>
      <c r="D20" s="31">
        <v>858.0686973428387</v>
      </c>
      <c r="E20" s="12">
        <f t="shared" si="1"/>
        <v>0.01942146335739013</v>
      </c>
      <c r="F20" s="12">
        <f t="shared" si="2"/>
        <v>4.993692598187311</v>
      </c>
      <c r="I20" s="131">
        <v>2859</v>
      </c>
      <c r="J20" s="131">
        <f t="shared" si="3"/>
        <v>1341.0572728551997</v>
      </c>
      <c r="K20" s="131">
        <v>1884</v>
      </c>
      <c r="L20" s="131">
        <f t="shared" si="4"/>
        <v>892.087693546096</v>
      </c>
    </row>
    <row r="21" spans="1:12" ht="15">
      <c r="A21" s="5" t="s">
        <v>836</v>
      </c>
      <c r="B21" s="131">
        <v>2162</v>
      </c>
      <c r="C21" s="12">
        <f t="shared" si="0"/>
        <v>0.017863339667850947</v>
      </c>
      <c r="D21" s="31">
        <v>697.3428386260532</v>
      </c>
      <c r="E21" s="12">
        <f t="shared" si="1"/>
        <v>0.01578360617262219</v>
      </c>
      <c r="F21" s="12">
        <f t="shared" si="2"/>
        <v>2.1003401486988844</v>
      </c>
      <c r="I21" s="131">
        <v>1765</v>
      </c>
      <c r="J21" s="131">
        <f t="shared" si="3"/>
        <v>827.8999953093485</v>
      </c>
      <c r="K21" s="131">
        <v>1394</v>
      </c>
      <c r="L21" s="131">
        <f t="shared" si="4"/>
        <v>660.0691320611771</v>
      </c>
    </row>
    <row r="22" spans="1:12" ht="15">
      <c r="A22" s="5" t="s">
        <v>843</v>
      </c>
      <c r="B22" s="131">
        <v>8231</v>
      </c>
      <c r="C22" s="12">
        <f t="shared" si="0"/>
        <v>0.06800793191770635</v>
      </c>
      <c r="D22" s="31">
        <v>159.86174119680277</v>
      </c>
      <c r="E22" s="12">
        <f t="shared" si="1"/>
        <v>0.0036182988128068217</v>
      </c>
      <c r="F22" s="12">
        <f t="shared" si="2"/>
        <v>50.488241891891896</v>
      </c>
      <c r="I22" s="131">
        <v>2847</v>
      </c>
      <c r="J22" s="131">
        <f t="shared" si="3"/>
        <v>1335.4284910174024</v>
      </c>
      <c r="K22" s="149">
        <v>0</v>
      </c>
      <c r="L22" s="131">
        <f t="shared" si="4"/>
        <v>0</v>
      </c>
    </row>
    <row r="23" spans="1:6" ht="15">
      <c r="A23" s="5" t="s">
        <v>686</v>
      </c>
      <c r="B23" s="27"/>
      <c r="C23" s="12"/>
      <c r="D23" s="11"/>
      <c r="E23" s="12"/>
      <c r="F23" s="12"/>
    </row>
    <row r="24" spans="1:12" ht="14.25">
      <c r="A24" s="13" t="s">
        <v>674</v>
      </c>
      <c r="B24" s="21">
        <f>SUM(B15:B23)</f>
        <v>121030</v>
      </c>
      <c r="C24" s="16">
        <f>SUM(C15:C23)</f>
        <v>1</v>
      </c>
      <c r="D24" s="21">
        <f>SUM(D15:D23)</f>
        <v>44181.464679196375</v>
      </c>
      <c r="E24" s="16">
        <f>SUM(E15:E23)</f>
        <v>1</v>
      </c>
      <c r="F24" s="16">
        <f>+(B24/D24)-1</f>
        <v>1.739384057971014</v>
      </c>
      <c r="I24" s="36">
        <f>SUM(I15:I23)</f>
        <v>115351</v>
      </c>
      <c r="J24" s="36">
        <f>SUM(J15:J23)</f>
        <v>54107.13448097941</v>
      </c>
      <c r="K24" s="36">
        <f>SUM(K15:K22)</f>
        <v>86586</v>
      </c>
      <c r="L24" s="36">
        <f>SUM(L15:L22)</f>
        <v>40999.10033619017</v>
      </c>
    </row>
    <row r="25" spans="1:10" ht="15">
      <c r="A25" s="5" t="s">
        <v>686</v>
      </c>
      <c r="B25" s="19"/>
      <c r="C25" s="20"/>
      <c r="D25" s="19"/>
      <c r="E25" s="20"/>
      <c r="F25" s="20"/>
      <c r="H25" t="s">
        <v>861</v>
      </c>
      <c r="I25">
        <v>7859658</v>
      </c>
      <c r="J25" s="131">
        <f>I25/2.1419</f>
        <v>3669479.4341472522</v>
      </c>
    </row>
    <row r="26" spans="1:6" ht="12.75">
      <c r="A26" s="17" t="s">
        <v>838</v>
      </c>
      <c r="B26" s="18"/>
      <c r="C26" s="18"/>
      <c r="D26" s="18"/>
      <c r="E26" s="18"/>
      <c r="F26" s="18"/>
    </row>
    <row r="27" spans="1:6" ht="12.75">
      <c r="A27" s="17"/>
      <c r="B27" s="18"/>
      <c r="C27" s="18"/>
      <c r="D27" s="18"/>
      <c r="E27" s="18"/>
      <c r="F27" s="18"/>
    </row>
    <row r="28" ht="12.75">
      <c r="A28" s="66" t="s">
        <v>972</v>
      </c>
    </row>
    <row r="31" ht="12.75">
      <c r="A31" s="80"/>
    </row>
    <row r="32" ht="12.75">
      <c r="A32" s="80"/>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1"/>
  <headerFooter alignWithMargins="0">
    <oddFooter>&amp;C46</oddFooter>
  </headerFooter>
</worksheet>
</file>

<file path=xl/worksheets/sheet33.xml><?xml version="1.0" encoding="utf-8"?>
<worksheet xmlns="http://schemas.openxmlformats.org/spreadsheetml/2006/main" xmlns:r="http://schemas.openxmlformats.org/officeDocument/2006/relationships">
  <dimension ref="A1:L55"/>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 min="9" max="9" width="8.7109375" style="0" customWidth="1"/>
    <col min="11" max="12" width="11.5742187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698</v>
      </c>
      <c r="B5" s="523"/>
      <c r="C5" s="523"/>
      <c r="D5" s="523"/>
      <c r="E5" s="523"/>
      <c r="F5" s="524"/>
    </row>
    <row r="6" spans="1:6" ht="18.75" thickBot="1">
      <c r="A6" s="516" t="s">
        <v>906</v>
      </c>
      <c r="B6" s="517"/>
      <c r="C6" s="517"/>
      <c r="D6" s="517"/>
      <c r="E6" s="517"/>
      <c r="F6" s="518"/>
    </row>
    <row r="7" spans="1:6" ht="15.75">
      <c r="A7" s="525" t="s">
        <v>984</v>
      </c>
      <c r="B7" s="525"/>
      <c r="C7" s="525"/>
      <c r="D7" s="525"/>
      <c r="E7" s="525"/>
      <c r="F7" s="525"/>
    </row>
    <row r="8" spans="1:6" ht="15.75">
      <c r="A8" s="526" t="s">
        <v>985</v>
      </c>
      <c r="B8" s="526"/>
      <c r="C8" s="526"/>
      <c r="D8" s="526"/>
      <c r="E8" s="526"/>
      <c r="F8" s="526"/>
    </row>
    <row r="9" spans="1:6" ht="15.75">
      <c r="A9" s="6"/>
      <c r="B9" s="5"/>
      <c r="C9" s="5"/>
      <c r="D9" s="5"/>
      <c r="E9" s="5"/>
      <c r="F9" s="5"/>
    </row>
    <row r="10" spans="1:6" ht="15">
      <c r="A10" s="2"/>
      <c r="B10" s="5"/>
      <c r="C10" s="5"/>
      <c r="D10" s="5"/>
      <c r="E10" s="5"/>
      <c r="F10" s="5"/>
    </row>
    <row r="11" spans="1:6" ht="14.25">
      <c r="A11" s="7" t="s">
        <v>877</v>
      </c>
      <c r="B11" s="549" t="s">
        <v>854</v>
      </c>
      <c r="C11" s="550"/>
      <c r="D11" s="550"/>
      <c r="E11" s="550"/>
      <c r="F11" s="551"/>
    </row>
    <row r="12" spans="1:6" ht="15">
      <c r="A12" s="9" t="s">
        <v>714</v>
      </c>
      <c r="B12" s="10" t="s">
        <v>979</v>
      </c>
      <c r="C12" s="8" t="s">
        <v>665</v>
      </c>
      <c r="D12" s="173" t="s">
        <v>921</v>
      </c>
      <c r="E12" s="8" t="s">
        <v>665</v>
      </c>
      <c r="F12" s="8" t="s">
        <v>883</v>
      </c>
    </row>
    <row r="13" spans="1:6" ht="15">
      <c r="A13" s="5"/>
      <c r="B13" s="11"/>
      <c r="C13" s="12"/>
      <c r="D13" s="11"/>
      <c r="E13" s="12"/>
      <c r="F13" s="12"/>
    </row>
    <row r="14" spans="1:11" ht="15">
      <c r="A14" s="5" t="s">
        <v>842</v>
      </c>
      <c r="B14" s="11">
        <v>1120190</v>
      </c>
      <c r="C14" s="12">
        <f aca="true" t="shared" si="0" ref="C14:C34">+B14/$B$36</f>
        <v>0.17156335709695422</v>
      </c>
      <c r="D14" s="119">
        <v>1035337</v>
      </c>
      <c r="E14" s="12">
        <f aca="true" t="shared" si="1" ref="E14:E34">+D14/$D$36</f>
        <v>0.17765059352018037</v>
      </c>
      <c r="F14" s="12">
        <f aca="true" t="shared" si="2" ref="F14:F34">+(B14-D14)/D14</f>
        <v>0.08195688939929704</v>
      </c>
      <c r="H14" s="87"/>
      <c r="K14" s="87"/>
    </row>
    <row r="15" spans="1:6" ht="15">
      <c r="A15" s="5" t="s">
        <v>888</v>
      </c>
      <c r="B15" s="11">
        <v>589654</v>
      </c>
      <c r="C15" s="12">
        <f t="shared" si="0"/>
        <v>0.09030880454712811</v>
      </c>
      <c r="D15" s="124">
        <v>416428</v>
      </c>
      <c r="E15" s="12">
        <f t="shared" si="1"/>
        <v>0.07145372121195483</v>
      </c>
      <c r="F15" s="12">
        <f>+(B15-D15)/D15</f>
        <v>0.4159806737299125</v>
      </c>
    </row>
    <row r="16" spans="1:12" ht="15">
      <c r="A16" s="5" t="s">
        <v>788</v>
      </c>
      <c r="B16" s="11">
        <v>999970</v>
      </c>
      <c r="C16" s="12">
        <f t="shared" si="0"/>
        <v>0.15315099241757318</v>
      </c>
      <c r="D16" s="119">
        <v>945743</v>
      </c>
      <c r="E16" s="12">
        <f t="shared" si="1"/>
        <v>0.1622774084839583</v>
      </c>
      <c r="F16" s="12">
        <f t="shared" si="2"/>
        <v>0.05733798716987596</v>
      </c>
      <c r="H16" s="42"/>
      <c r="I16" s="42"/>
      <c r="K16" s="42"/>
      <c r="L16" s="42"/>
    </row>
    <row r="17" spans="1:12" ht="15">
      <c r="A17" s="5" t="s">
        <v>751</v>
      </c>
      <c r="B17" s="11">
        <v>73645</v>
      </c>
      <c r="C17" s="12">
        <f t="shared" si="0"/>
        <v>0.011279143210888505</v>
      </c>
      <c r="D17" s="119">
        <v>71962</v>
      </c>
      <c r="E17" s="12">
        <f t="shared" si="1"/>
        <v>0.012347759242545393</v>
      </c>
      <c r="F17" s="12">
        <f t="shared" si="2"/>
        <v>0.023387343320085602</v>
      </c>
      <c r="H17" s="42"/>
      <c r="I17" s="42"/>
      <c r="K17" s="42"/>
      <c r="L17" s="42"/>
    </row>
    <row r="18" spans="1:12" ht="15">
      <c r="A18" s="5" t="s">
        <v>914</v>
      </c>
      <c r="B18" s="11">
        <v>341831</v>
      </c>
      <c r="C18" s="12">
        <f t="shared" si="0"/>
        <v>0.05235332748891613</v>
      </c>
      <c r="D18" s="119">
        <v>313023</v>
      </c>
      <c r="E18" s="12">
        <f t="shared" si="1"/>
        <v>0.05371074513464449</v>
      </c>
      <c r="F18" s="12">
        <f t="shared" si="2"/>
        <v>0.09203157595448258</v>
      </c>
      <c r="H18" s="36"/>
      <c r="I18" s="36"/>
      <c r="K18" s="36"/>
      <c r="L18" s="36"/>
    </row>
    <row r="19" spans="1:12" ht="15">
      <c r="A19" s="28" t="s">
        <v>889</v>
      </c>
      <c r="B19" s="11">
        <v>448174</v>
      </c>
      <c r="C19" s="12">
        <f t="shared" si="0"/>
        <v>0.06864035208631604</v>
      </c>
      <c r="D19" s="119">
        <v>393969</v>
      </c>
      <c r="E19" s="12">
        <f t="shared" si="1"/>
        <v>0.06760004392632732</v>
      </c>
      <c r="F19" s="12">
        <f t="shared" si="2"/>
        <v>0.13758696750251923</v>
      </c>
      <c r="H19" s="36"/>
      <c r="I19" s="36"/>
      <c r="K19" s="36"/>
      <c r="L19" s="36"/>
    </row>
    <row r="20" spans="1:12" ht="15">
      <c r="A20" s="5" t="s">
        <v>915</v>
      </c>
      <c r="B20" s="11">
        <v>265716</v>
      </c>
      <c r="C20" s="12">
        <f t="shared" si="0"/>
        <v>0.04069588997792722</v>
      </c>
      <c r="D20" s="119">
        <v>235592</v>
      </c>
      <c r="E20" s="12">
        <f t="shared" si="1"/>
        <v>0.04042457540743385</v>
      </c>
      <c r="F20" s="12">
        <f t="shared" si="2"/>
        <v>0.1278651227545927</v>
      </c>
      <c r="H20" s="36"/>
      <c r="I20" s="36"/>
      <c r="K20" s="36"/>
      <c r="L20" s="36"/>
    </row>
    <row r="21" spans="1:12" ht="15">
      <c r="A21" s="5" t="s">
        <v>890</v>
      </c>
      <c r="B21" s="11">
        <v>230049</v>
      </c>
      <c r="C21" s="12">
        <f t="shared" si="0"/>
        <v>0.035233289653359895</v>
      </c>
      <c r="D21" s="124">
        <v>219072</v>
      </c>
      <c r="E21" s="12">
        <f t="shared" si="1"/>
        <v>0.037589954598022626</v>
      </c>
      <c r="F21" s="12">
        <f>+(B21-D21)/D21</f>
        <v>0.050106814198071864</v>
      </c>
      <c r="H21" s="36"/>
      <c r="I21" s="36"/>
      <c r="K21" s="36"/>
      <c r="L21" s="36"/>
    </row>
    <row r="22" spans="1:12" ht="15">
      <c r="A22" s="5" t="s">
        <v>916</v>
      </c>
      <c r="B22" s="11">
        <v>108012</v>
      </c>
      <c r="C22" s="12">
        <f t="shared" si="0"/>
        <v>0.016542641272245084</v>
      </c>
      <c r="D22" s="124">
        <v>86605</v>
      </c>
      <c r="E22" s="12">
        <f t="shared" si="1"/>
        <v>0.014860310847400625</v>
      </c>
      <c r="F22" s="12">
        <f t="shared" si="2"/>
        <v>0.2471797240344091</v>
      </c>
      <c r="H22" s="36"/>
      <c r="I22" s="36"/>
      <c r="K22" s="36"/>
      <c r="L22" s="36"/>
    </row>
    <row r="23" spans="1:12" ht="15">
      <c r="A23" s="5" t="s">
        <v>891</v>
      </c>
      <c r="B23" s="11">
        <v>168183</v>
      </c>
      <c r="C23" s="12">
        <f t="shared" si="0"/>
        <v>0.025758166102747795</v>
      </c>
      <c r="D23" s="124">
        <v>150371</v>
      </c>
      <c r="E23" s="12">
        <f t="shared" si="1"/>
        <v>0.025801741267068638</v>
      </c>
      <c r="F23" s="12">
        <f t="shared" si="2"/>
        <v>0.11845369120375604</v>
      </c>
      <c r="H23" s="36"/>
      <c r="I23" s="36"/>
      <c r="K23" s="36"/>
      <c r="L23" s="36"/>
    </row>
    <row r="24" spans="1:12" ht="15">
      <c r="A24" s="5" t="s">
        <v>917</v>
      </c>
      <c r="B24" s="11">
        <v>172691</v>
      </c>
      <c r="C24" s="12">
        <f t="shared" si="0"/>
        <v>0.02644859148932781</v>
      </c>
      <c r="D24" s="124">
        <v>142157</v>
      </c>
      <c r="E24" s="12">
        <f t="shared" si="1"/>
        <v>0.02439232387430207</v>
      </c>
      <c r="F24" s="12">
        <f t="shared" si="2"/>
        <v>0.21479068916761046</v>
      </c>
      <c r="H24" s="36"/>
      <c r="I24" s="36"/>
      <c r="K24" s="36"/>
      <c r="L24" s="36"/>
    </row>
    <row r="25" spans="1:12" ht="15">
      <c r="A25" s="5" t="s">
        <v>894</v>
      </c>
      <c r="B25" s="11">
        <v>390127</v>
      </c>
      <c r="C25" s="12">
        <f t="shared" si="0"/>
        <v>0.059750129722782264</v>
      </c>
      <c r="D25" s="124">
        <v>215959</v>
      </c>
      <c r="E25" s="12">
        <f t="shared" si="1"/>
        <v>0.037055803594409</v>
      </c>
      <c r="F25" s="12">
        <f t="shared" si="2"/>
        <v>0.8064864164031136</v>
      </c>
      <c r="H25" s="36"/>
      <c r="I25" s="36"/>
      <c r="K25" s="36"/>
      <c r="L25" s="36"/>
    </row>
    <row r="26" spans="1:12" ht="15">
      <c r="A26" s="28" t="s">
        <v>892</v>
      </c>
      <c r="B26" s="11">
        <v>319763</v>
      </c>
      <c r="C26" s="12">
        <f t="shared" si="0"/>
        <v>0.04897348999312025</v>
      </c>
      <c r="D26" s="124">
        <v>264269</v>
      </c>
      <c r="E26" s="12">
        <f t="shared" si="1"/>
        <v>0.04534518200256008</v>
      </c>
      <c r="F26" s="12">
        <f>+(B26-D26)/D26</f>
        <v>0.20999057778248678</v>
      </c>
      <c r="I26" s="36"/>
      <c r="K26" s="36"/>
      <c r="L26" s="36"/>
    </row>
    <row r="27" spans="1:12" ht="15">
      <c r="A27" s="5" t="s">
        <v>803</v>
      </c>
      <c r="B27" s="11">
        <v>74625</v>
      </c>
      <c r="C27" s="12">
        <f t="shared" si="0"/>
        <v>0.011429235686231987</v>
      </c>
      <c r="D27" s="124">
        <v>70344</v>
      </c>
      <c r="E27" s="12">
        <f t="shared" si="1"/>
        <v>0.012070131126950517</v>
      </c>
      <c r="F27" s="12">
        <f t="shared" si="2"/>
        <v>0.06085806891845787</v>
      </c>
      <c r="H27" s="36"/>
      <c r="I27" s="36"/>
      <c r="K27" s="36"/>
      <c r="L27" s="36"/>
    </row>
    <row r="28" spans="1:12" ht="15">
      <c r="A28" s="5" t="s">
        <v>896</v>
      </c>
      <c r="B28" s="11">
        <v>140151</v>
      </c>
      <c r="C28" s="12">
        <f t="shared" si="0"/>
        <v>0.021464908685575868</v>
      </c>
      <c r="D28" s="124">
        <v>111002</v>
      </c>
      <c r="E28" s="12">
        <f t="shared" si="1"/>
        <v>0.01904652415776415</v>
      </c>
      <c r="F28" s="12">
        <f>+(B28-D28)/D28</f>
        <v>0.26259887209239474</v>
      </c>
      <c r="H28" s="36"/>
      <c r="I28" s="36"/>
      <c r="K28" s="36"/>
      <c r="L28" s="36"/>
    </row>
    <row r="29" spans="1:12" ht="15">
      <c r="A29" s="5" t="s">
        <v>893</v>
      </c>
      <c r="B29" s="11">
        <v>46252</v>
      </c>
      <c r="C29" s="12">
        <f t="shared" si="0"/>
        <v>0.007083752213864011</v>
      </c>
      <c r="D29" s="124">
        <v>42298</v>
      </c>
      <c r="E29" s="12">
        <f t="shared" si="1"/>
        <v>0.007257796065161961</v>
      </c>
      <c r="F29" s="12">
        <f t="shared" si="2"/>
        <v>0.093479597144073</v>
      </c>
      <c r="H29" s="36"/>
      <c r="I29" s="36"/>
      <c r="K29" s="36"/>
      <c r="L29" s="36"/>
    </row>
    <row r="30" spans="1:12" ht="15">
      <c r="A30" s="5" t="s">
        <v>895</v>
      </c>
      <c r="B30" s="11">
        <v>42375</v>
      </c>
      <c r="C30" s="12">
        <f t="shared" si="0"/>
        <v>0.006489968002734746</v>
      </c>
      <c r="D30" s="124">
        <v>37785</v>
      </c>
      <c r="E30" s="12">
        <f t="shared" si="1"/>
        <v>0.006483422959055858</v>
      </c>
      <c r="F30" s="12">
        <f t="shared" si="2"/>
        <v>0.12147677649861056</v>
      </c>
      <c r="H30" s="36"/>
      <c r="I30" s="36"/>
      <c r="K30" s="36"/>
      <c r="L30" s="36"/>
    </row>
    <row r="31" spans="1:12" ht="15">
      <c r="A31" s="28" t="s">
        <v>897</v>
      </c>
      <c r="B31" s="11">
        <v>65761</v>
      </c>
      <c r="C31" s="12">
        <f t="shared" si="0"/>
        <v>0.0100716645623089</v>
      </c>
      <c r="D31" s="124">
        <v>59101</v>
      </c>
      <c r="E31" s="12">
        <f t="shared" si="1"/>
        <v>0.01014097605671987</v>
      </c>
      <c r="F31" s="12">
        <f t="shared" si="2"/>
        <v>0.11268844858801036</v>
      </c>
      <c r="H31" s="36"/>
      <c r="I31" s="36"/>
      <c r="K31" s="36"/>
      <c r="L31" s="36"/>
    </row>
    <row r="32" spans="1:12" ht="15">
      <c r="A32" s="5" t="s">
        <v>899</v>
      </c>
      <c r="B32" s="11">
        <v>75466</v>
      </c>
      <c r="C32" s="12">
        <f t="shared" si="0"/>
        <v>0.011558039534970628</v>
      </c>
      <c r="D32" s="124">
        <v>52408</v>
      </c>
      <c r="E32" s="12">
        <f t="shared" si="1"/>
        <v>0.008992542819589769</v>
      </c>
      <c r="F32" s="12">
        <f t="shared" si="2"/>
        <v>0.43997099679438256</v>
      </c>
      <c r="H32" s="36"/>
      <c r="I32" s="36"/>
      <c r="K32" s="79"/>
      <c r="L32" s="36"/>
    </row>
    <row r="33" spans="1:12" ht="15">
      <c r="A33" s="5" t="s">
        <v>898</v>
      </c>
      <c r="B33" s="11">
        <v>52280</v>
      </c>
      <c r="C33" s="12">
        <f t="shared" si="0"/>
        <v>0.00800697409281351</v>
      </c>
      <c r="D33" s="124">
        <v>50134</v>
      </c>
      <c r="E33" s="12">
        <f t="shared" si="1"/>
        <v>0.008602353490255562</v>
      </c>
      <c r="F33" s="12">
        <f t="shared" si="2"/>
        <v>0.04280528184465632</v>
      </c>
      <c r="H33" s="36"/>
      <c r="I33" s="36"/>
      <c r="K33" s="36"/>
      <c r="L33" s="36"/>
    </row>
    <row r="34" spans="1:12" ht="15">
      <c r="A34" s="5" t="s">
        <v>733</v>
      </c>
      <c r="B34" s="11">
        <f>+B36-SUM(B14:B33)</f>
        <v>804393</v>
      </c>
      <c r="C34" s="12">
        <f t="shared" si="0"/>
        <v>0.12319728216221382</v>
      </c>
      <c r="D34" s="119">
        <f>+D36-SUM(D14:D33)</f>
        <v>914381</v>
      </c>
      <c r="E34" s="12">
        <f t="shared" si="1"/>
        <v>0.15689609021369472</v>
      </c>
      <c r="F34" s="12">
        <f t="shared" si="2"/>
        <v>-0.12028683885601298</v>
      </c>
      <c r="H34" s="36"/>
      <c r="I34" s="36"/>
      <c r="K34" s="36"/>
      <c r="L34" s="36"/>
    </row>
    <row r="35" spans="1:12" ht="15">
      <c r="A35" s="5"/>
      <c r="B35" s="11"/>
      <c r="C35" s="12"/>
      <c r="D35" s="11"/>
      <c r="E35" s="12"/>
      <c r="F35" s="12"/>
      <c r="H35" s="36"/>
      <c r="I35" s="36"/>
      <c r="K35" s="36"/>
      <c r="L35" s="36"/>
    </row>
    <row r="36" spans="1:12" ht="14.25">
      <c r="A36" s="13" t="s">
        <v>674</v>
      </c>
      <c r="B36" s="14">
        <v>6529308</v>
      </c>
      <c r="C36" s="15">
        <v>1</v>
      </c>
      <c r="D36" s="14">
        <v>5827940</v>
      </c>
      <c r="E36" s="15">
        <v>1</v>
      </c>
      <c r="F36" s="16">
        <f>+(B36/D36)-1</f>
        <v>0.12034578255781625</v>
      </c>
      <c r="H36" s="36"/>
      <c r="I36" s="36"/>
      <c r="K36" s="36"/>
      <c r="L36" s="36"/>
    </row>
    <row r="37" spans="1:12" ht="15">
      <c r="A37" s="69" t="s">
        <v>778</v>
      </c>
      <c r="B37" s="11"/>
      <c r="C37" s="11"/>
      <c r="D37" s="11"/>
      <c r="E37" s="11"/>
      <c r="F37" s="11"/>
      <c r="H37" s="36"/>
      <c r="I37" s="36"/>
      <c r="K37" s="36"/>
      <c r="L37" s="36"/>
    </row>
    <row r="38" spans="1:12" ht="12.75">
      <c r="A38" s="68" t="s">
        <v>819</v>
      </c>
      <c r="B38" s="67"/>
      <c r="C38" s="67"/>
      <c r="D38" s="67"/>
      <c r="E38" s="67"/>
      <c r="F38" s="67"/>
      <c r="H38" s="36"/>
      <c r="I38" s="36"/>
      <c r="K38" s="36"/>
      <c r="L38" s="36"/>
    </row>
    <row r="39" spans="1:12" ht="12.75">
      <c r="A39" s="577" t="s">
        <v>1076</v>
      </c>
      <c r="B39" s="577"/>
      <c r="C39" s="577"/>
      <c r="D39" s="577"/>
      <c r="E39" s="577"/>
      <c r="F39" s="577"/>
      <c r="H39" s="36"/>
      <c r="I39" s="36"/>
      <c r="K39" s="36"/>
      <c r="L39" s="36"/>
    </row>
    <row r="40" spans="1:12" ht="15">
      <c r="A40" s="11"/>
      <c r="B40" s="11"/>
      <c r="C40" s="11"/>
      <c r="D40" s="11"/>
      <c r="E40" s="11"/>
      <c r="F40" s="11"/>
      <c r="H40" s="36"/>
      <c r="I40" s="36"/>
      <c r="K40" s="36"/>
      <c r="L40" s="36"/>
    </row>
    <row r="41" spans="1:12" ht="15">
      <c r="A41" s="11"/>
      <c r="B41" s="168" t="s">
        <v>929</v>
      </c>
      <c r="C41" s="11"/>
      <c r="D41" s="11"/>
      <c r="E41" s="11"/>
      <c r="F41" s="11"/>
      <c r="H41" s="36"/>
      <c r="I41" s="36"/>
      <c r="K41" s="36"/>
      <c r="L41" s="36"/>
    </row>
    <row r="42" spans="1:12" ht="12.75">
      <c r="A42" s="66">
        <v>89</v>
      </c>
      <c r="B42" s="67">
        <v>317.777</v>
      </c>
      <c r="C42" s="67"/>
      <c r="D42" s="67"/>
      <c r="E42" s="67"/>
      <c r="F42" s="67"/>
      <c r="H42" s="36"/>
      <c r="I42" s="36"/>
      <c r="K42" s="36"/>
      <c r="L42" s="36"/>
    </row>
    <row r="43" spans="1:6" ht="12.75">
      <c r="A43" s="66">
        <v>90</v>
      </c>
      <c r="B43" s="67">
        <v>627.958</v>
      </c>
      <c r="C43" s="71"/>
      <c r="D43" s="73"/>
      <c r="E43" s="72"/>
      <c r="F43" s="72"/>
    </row>
    <row r="44" spans="1:6" ht="12.75">
      <c r="A44" s="66">
        <v>91</v>
      </c>
      <c r="B44" s="67">
        <v>842.301</v>
      </c>
      <c r="C44" s="71"/>
      <c r="D44" s="73"/>
      <c r="E44" s="72"/>
      <c r="F44" s="72"/>
    </row>
    <row r="45" spans="1:6" ht="12.75">
      <c r="A45" s="66">
        <v>92</v>
      </c>
      <c r="B45" s="67">
        <v>1067.991</v>
      </c>
      <c r="C45" s="74"/>
      <c r="D45" s="74"/>
      <c r="E45" s="74"/>
      <c r="F45" s="74"/>
    </row>
    <row r="46" spans="1:6" ht="12.75">
      <c r="A46" s="66">
        <v>93</v>
      </c>
      <c r="B46" s="67">
        <v>1342.331</v>
      </c>
      <c r="C46" s="74"/>
      <c r="D46" s="74"/>
      <c r="E46" s="74"/>
      <c r="F46" s="74"/>
    </row>
    <row r="47" spans="1:2" ht="12.75">
      <c r="A47" s="66">
        <v>94</v>
      </c>
      <c r="B47" s="67">
        <v>1591.72</v>
      </c>
    </row>
    <row r="48" spans="1:2" ht="12.75">
      <c r="A48" s="66">
        <v>95</v>
      </c>
      <c r="B48" s="67">
        <v>1796.084</v>
      </c>
    </row>
    <row r="49" spans="1:2" ht="12.75">
      <c r="A49" s="66">
        <v>96</v>
      </c>
      <c r="B49" s="67">
        <v>2178.647</v>
      </c>
    </row>
    <row r="50" spans="1:2" ht="12.75">
      <c r="A50" s="66">
        <v>97</v>
      </c>
      <c r="B50" s="67">
        <v>2720.788</v>
      </c>
    </row>
    <row r="51" spans="1:2" ht="12.75">
      <c r="A51" s="66">
        <v>98</v>
      </c>
      <c r="B51" s="67">
        <v>3346.792</v>
      </c>
    </row>
    <row r="52" spans="1:2" ht="12.75">
      <c r="A52" s="66">
        <v>99</v>
      </c>
      <c r="B52" s="67">
        <v>4071.603</v>
      </c>
    </row>
    <row r="53" spans="1:2" ht="12.75">
      <c r="A53" s="66">
        <v>2000</v>
      </c>
      <c r="B53" s="67">
        <v>4938.828</v>
      </c>
    </row>
    <row r="54" spans="1:2" ht="12.75">
      <c r="A54" s="66">
        <v>2001</v>
      </c>
      <c r="B54" s="67">
        <v>5827.94</v>
      </c>
    </row>
    <row r="55" spans="1:2" ht="12.75">
      <c r="A55" s="167">
        <v>2002</v>
      </c>
      <c r="B55" s="67">
        <f>+B36/1000</f>
        <v>6529.308</v>
      </c>
    </row>
  </sheetData>
  <mergeCells count="6">
    <mergeCell ref="A39:F39"/>
    <mergeCell ref="B11:F11"/>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&amp;C47</oddFooter>
  </headerFooter>
  <drawing r:id="rId1"/>
</worksheet>
</file>

<file path=xl/worksheets/sheet34.xml><?xml version="1.0" encoding="utf-8"?>
<worksheet xmlns="http://schemas.openxmlformats.org/spreadsheetml/2006/main" xmlns:r="http://schemas.openxmlformats.org/officeDocument/2006/relationships">
  <dimension ref="A1:M58"/>
  <sheetViews>
    <sheetView workbookViewId="0" topLeftCell="A1">
      <selection activeCell="A5" sqref="A5:F5"/>
    </sheetView>
  </sheetViews>
  <sheetFormatPr defaultColWidth="11.421875" defaultRowHeight="12.75"/>
  <cols>
    <col min="1" max="1" width="20.8515625" style="0" customWidth="1"/>
    <col min="2" max="2" width="20.57421875" style="0" customWidth="1"/>
    <col min="3" max="3" width="14.421875" style="0" bestFit="1" customWidth="1"/>
    <col min="4" max="4" width="20.57421875" style="0" bestFit="1" customWidth="1"/>
    <col min="5" max="5" width="14.421875" style="0" bestFit="1" customWidth="1"/>
    <col min="6" max="6" width="10.7109375" style="0" bestFit="1" customWidth="1"/>
    <col min="9" max="9" width="10.140625" style="0" bestFit="1" customWidth="1"/>
    <col min="10" max="11" width="11.57421875" style="0" bestFit="1"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698</v>
      </c>
      <c r="B5" s="523"/>
      <c r="C5" s="523"/>
      <c r="D5" s="523"/>
      <c r="E5" s="523"/>
      <c r="F5" s="524"/>
    </row>
    <row r="6" spans="1:6" ht="18.75" thickBot="1">
      <c r="A6" s="516" t="s">
        <v>906</v>
      </c>
      <c r="B6" s="517"/>
      <c r="C6" s="517"/>
      <c r="D6" s="517"/>
      <c r="E6" s="517"/>
      <c r="F6" s="518"/>
    </row>
    <row r="7" spans="1:6" ht="15.75">
      <c r="A7" s="525" t="s">
        <v>987</v>
      </c>
      <c r="B7" s="525"/>
      <c r="C7" s="525"/>
      <c r="D7" s="525"/>
      <c r="E7" s="525"/>
      <c r="F7" s="525"/>
    </row>
    <row r="8" spans="1:6" ht="15.75">
      <c r="A8" s="526" t="s">
        <v>988</v>
      </c>
      <c r="B8" s="526"/>
      <c r="C8" s="526"/>
      <c r="D8" s="526"/>
      <c r="E8" s="526"/>
      <c r="F8" s="526"/>
    </row>
    <row r="9" spans="1:6" ht="15.75">
      <c r="A9" s="6"/>
      <c r="B9" s="5"/>
      <c r="C9" s="5"/>
      <c r="D9" s="5"/>
      <c r="E9" s="5"/>
      <c r="F9" s="5"/>
    </row>
    <row r="10" spans="1:6" ht="15">
      <c r="A10" s="2"/>
      <c r="B10" s="5"/>
      <c r="C10" s="5"/>
      <c r="D10" s="5"/>
      <c r="E10" s="5"/>
      <c r="F10" s="5"/>
    </row>
    <row r="11" spans="1:10" ht="14.25">
      <c r="A11" s="7" t="s">
        <v>661</v>
      </c>
      <c r="B11" s="7" t="s">
        <v>783</v>
      </c>
      <c r="C11" s="7" t="s">
        <v>712</v>
      </c>
      <c r="D11" s="7" t="s">
        <v>783</v>
      </c>
      <c r="E11" s="7" t="s">
        <v>712</v>
      </c>
      <c r="F11" s="7" t="s">
        <v>713</v>
      </c>
      <c r="H11" s="87" t="s">
        <v>979</v>
      </c>
      <c r="J11" s="87" t="s">
        <v>823</v>
      </c>
    </row>
    <row r="12" spans="1:11" ht="15">
      <c r="A12" s="23" t="s">
        <v>714</v>
      </c>
      <c r="B12" s="23" t="s">
        <v>811</v>
      </c>
      <c r="C12" s="24" t="s">
        <v>715</v>
      </c>
      <c r="D12" s="23" t="s">
        <v>811</v>
      </c>
      <c r="E12" s="24" t="s">
        <v>715</v>
      </c>
      <c r="F12" s="160" t="s">
        <v>884</v>
      </c>
      <c r="H12" s="42" t="s">
        <v>786</v>
      </c>
      <c r="I12" s="42" t="s">
        <v>786</v>
      </c>
      <c r="J12" s="42" t="s">
        <v>853</v>
      </c>
      <c r="K12" s="42" t="s">
        <v>853</v>
      </c>
    </row>
    <row r="13" spans="1:11" ht="15">
      <c r="A13" s="9"/>
      <c r="B13" s="25" t="s">
        <v>979</v>
      </c>
      <c r="C13" s="9" t="s">
        <v>716</v>
      </c>
      <c r="D13" s="26" t="s">
        <v>921</v>
      </c>
      <c r="E13" s="9" t="s">
        <v>716</v>
      </c>
      <c r="F13" s="26"/>
      <c r="H13" s="42" t="s">
        <v>787</v>
      </c>
      <c r="I13" s="42" t="s">
        <v>741</v>
      </c>
      <c r="J13" s="42" t="s">
        <v>787</v>
      </c>
      <c r="K13" s="42" t="s">
        <v>741</v>
      </c>
    </row>
    <row r="14" spans="1:11" ht="15">
      <c r="A14" s="5"/>
      <c r="B14" s="11"/>
      <c r="C14" s="12"/>
      <c r="D14" s="11"/>
      <c r="E14" s="12"/>
      <c r="F14" s="12"/>
      <c r="I14">
        <v>0.9604</v>
      </c>
      <c r="K14">
        <v>1.1321</v>
      </c>
    </row>
    <row r="15" spans="1:11" ht="15">
      <c r="A15" s="5" t="s">
        <v>842</v>
      </c>
      <c r="B15" s="11">
        <f>+I15</f>
        <v>10546650.354019158</v>
      </c>
      <c r="C15" s="12">
        <f aca="true" t="shared" si="0" ref="C15:C35">+B15/$B$37</f>
        <v>0.21053518677130226</v>
      </c>
      <c r="D15" s="11">
        <f>+K15</f>
        <v>8675995.053440508</v>
      </c>
      <c r="E15" s="12">
        <f aca="true" t="shared" si="1" ref="E15:E35">+D15/$D$37</f>
        <v>0.22409952643399964</v>
      </c>
      <c r="F15" s="12">
        <f>+(B15-D15)/D15</f>
        <v>0.21561276707238702</v>
      </c>
      <c r="H15" s="36">
        <v>10129003</v>
      </c>
      <c r="I15" s="36">
        <f>+H15/$I$14</f>
        <v>10546650.354019158</v>
      </c>
      <c r="J15" s="36">
        <v>9822094</v>
      </c>
      <c r="K15" s="36">
        <f>+J15/$K$14</f>
        <v>8675995.053440508</v>
      </c>
    </row>
    <row r="16" spans="1:11" ht="15">
      <c r="A16" s="5" t="s">
        <v>888</v>
      </c>
      <c r="B16" s="11">
        <f aca="true" t="shared" si="2" ref="B16:B35">+I16</f>
        <v>6651243.231986672</v>
      </c>
      <c r="C16" s="12">
        <f t="shared" si="0"/>
        <v>0.13277397933022728</v>
      </c>
      <c r="D16" s="11">
        <f aca="true" t="shared" si="3" ref="D16:D35">+K16</f>
        <v>3715801.607631834</v>
      </c>
      <c r="E16" s="12">
        <f t="shared" si="1"/>
        <v>0.09597854487742863</v>
      </c>
      <c r="F16" s="12">
        <f>+(B16-D16)/D16</f>
        <v>0.7899887922772233</v>
      </c>
      <c r="H16" s="36">
        <v>6387854</v>
      </c>
      <c r="I16" s="36">
        <f aca="true" t="shared" si="4" ref="I16:I35">+H16/$I$14</f>
        <v>6651243.231986672</v>
      </c>
      <c r="J16" s="36">
        <v>4206659</v>
      </c>
      <c r="K16" s="36">
        <f aca="true" t="shared" si="5" ref="K16:K35">+J16/$K$14</f>
        <v>3715801.607631834</v>
      </c>
    </row>
    <row r="17" spans="1:11" ht="15">
      <c r="A17" s="5" t="s">
        <v>788</v>
      </c>
      <c r="B17" s="11">
        <f t="shared" si="2"/>
        <v>6076120.366513953</v>
      </c>
      <c r="C17" s="12">
        <f t="shared" si="0"/>
        <v>0.12129321569112528</v>
      </c>
      <c r="D17" s="11">
        <f t="shared" si="3"/>
        <v>4808670.6121367365</v>
      </c>
      <c r="E17" s="12">
        <f t="shared" si="1"/>
        <v>0.12420717166379643</v>
      </c>
      <c r="F17" s="12">
        <f aca="true" t="shared" si="6" ref="F17:F35">+(B17-D17)/D17</f>
        <v>0.2635759145528215</v>
      </c>
      <c r="H17" s="36">
        <v>5835506</v>
      </c>
      <c r="I17" s="36">
        <f t="shared" si="4"/>
        <v>6076120.366513953</v>
      </c>
      <c r="J17" s="36">
        <v>5443896</v>
      </c>
      <c r="K17" s="36">
        <f t="shared" si="5"/>
        <v>4808670.6121367365</v>
      </c>
    </row>
    <row r="18" spans="1:11" ht="15">
      <c r="A18" s="5" t="s">
        <v>751</v>
      </c>
      <c r="B18" s="11">
        <f t="shared" si="2"/>
        <v>3874168.054977093</v>
      </c>
      <c r="C18" s="12">
        <f t="shared" si="0"/>
        <v>0.07733722723890098</v>
      </c>
      <c r="D18" s="11">
        <f t="shared" si="3"/>
        <v>3487236.1098842854</v>
      </c>
      <c r="E18" s="12">
        <f t="shared" si="1"/>
        <v>0.09007473563262448</v>
      </c>
      <c r="F18" s="12">
        <f t="shared" si="6"/>
        <v>0.11095662378468742</v>
      </c>
      <c r="H18" s="36">
        <v>3720751</v>
      </c>
      <c r="I18" s="36">
        <f t="shared" si="4"/>
        <v>3874168.054977093</v>
      </c>
      <c r="J18" s="36">
        <v>3947900</v>
      </c>
      <c r="K18" s="36">
        <f t="shared" si="5"/>
        <v>3487236.1098842854</v>
      </c>
    </row>
    <row r="19" spans="1:11" ht="15">
      <c r="A19" s="5" t="s">
        <v>914</v>
      </c>
      <c r="B19" s="11">
        <f t="shared" si="2"/>
        <v>2918244.481466056</v>
      </c>
      <c r="C19" s="12">
        <f t="shared" si="0"/>
        <v>0.058254813265487926</v>
      </c>
      <c r="D19" s="11">
        <f t="shared" si="3"/>
        <v>2363919.26508259</v>
      </c>
      <c r="E19" s="12">
        <f t="shared" si="1"/>
        <v>0.06105964613513013</v>
      </c>
      <c r="F19" s="12">
        <f t="shared" si="6"/>
        <v>0.23449414054506604</v>
      </c>
      <c r="H19" s="36">
        <v>2802682</v>
      </c>
      <c r="I19" s="36">
        <f t="shared" si="4"/>
        <v>2918244.481466056</v>
      </c>
      <c r="J19" s="36">
        <v>2676193</v>
      </c>
      <c r="K19" s="36">
        <f t="shared" si="5"/>
        <v>2363919.26508259</v>
      </c>
    </row>
    <row r="20" spans="1:11" ht="15">
      <c r="A20" s="28" t="s">
        <v>889</v>
      </c>
      <c r="B20" s="11">
        <f t="shared" si="2"/>
        <v>2446016.2432319866</v>
      </c>
      <c r="C20" s="12">
        <f t="shared" si="0"/>
        <v>0.04882806097940259</v>
      </c>
      <c r="D20" s="11">
        <f t="shared" si="3"/>
        <v>2007315.608161823</v>
      </c>
      <c r="E20" s="12">
        <f t="shared" si="1"/>
        <v>0.051848632280427</v>
      </c>
      <c r="F20" s="12">
        <f t="shared" si="6"/>
        <v>0.21855090115694314</v>
      </c>
      <c r="H20" s="36">
        <v>2349154</v>
      </c>
      <c r="I20" s="36">
        <f t="shared" si="4"/>
        <v>2446016.2432319866</v>
      </c>
      <c r="J20" s="36">
        <v>2272482</v>
      </c>
      <c r="K20" s="36">
        <f t="shared" si="5"/>
        <v>2007315.608161823</v>
      </c>
    </row>
    <row r="21" spans="1:11" ht="15">
      <c r="A21" s="5" t="s">
        <v>915</v>
      </c>
      <c r="B21" s="11">
        <f t="shared" si="2"/>
        <v>1987124.1149521032</v>
      </c>
      <c r="C21" s="12">
        <f t="shared" si="0"/>
        <v>0.03966752785350182</v>
      </c>
      <c r="D21" s="11">
        <f t="shared" si="3"/>
        <v>1583229.3966964048</v>
      </c>
      <c r="E21" s="12">
        <f t="shared" si="1"/>
        <v>0.040894555131788975</v>
      </c>
      <c r="F21" s="12">
        <f t="shared" si="6"/>
        <v>0.25510814737174065</v>
      </c>
      <c r="H21" s="36">
        <v>1908434</v>
      </c>
      <c r="I21" s="36">
        <f t="shared" si="4"/>
        <v>1987124.1149521032</v>
      </c>
      <c r="J21" s="36">
        <v>1792374</v>
      </c>
      <c r="K21" s="36">
        <f t="shared" si="5"/>
        <v>1583229.3966964048</v>
      </c>
    </row>
    <row r="22" spans="1:11" ht="15">
      <c r="A22" s="5" t="s">
        <v>890</v>
      </c>
      <c r="B22" s="11">
        <f t="shared" si="2"/>
        <v>1585507.0803831737</v>
      </c>
      <c r="C22" s="12">
        <f t="shared" si="0"/>
        <v>0.03165033618171346</v>
      </c>
      <c r="D22" s="11">
        <f t="shared" si="3"/>
        <v>1121953.0076848334</v>
      </c>
      <c r="E22" s="12">
        <f t="shared" si="1"/>
        <v>0.02897986180889618</v>
      </c>
      <c r="F22" s="12">
        <f>+(B22-D22)/D22</f>
        <v>0.41316710194029516</v>
      </c>
      <c r="H22" s="36">
        <v>1522721</v>
      </c>
      <c r="I22" s="36">
        <f t="shared" si="4"/>
        <v>1585507.0803831737</v>
      </c>
      <c r="J22" s="36">
        <v>1270163</v>
      </c>
      <c r="K22" s="36">
        <f t="shared" si="5"/>
        <v>1121953.0076848334</v>
      </c>
    </row>
    <row r="23" spans="1:11" ht="15">
      <c r="A23" s="5" t="s">
        <v>916</v>
      </c>
      <c r="B23" s="11">
        <f t="shared" si="2"/>
        <v>1370700.7496876302</v>
      </c>
      <c r="C23" s="12">
        <f t="shared" si="0"/>
        <v>0.027362312075992525</v>
      </c>
      <c r="D23" s="11">
        <f t="shared" si="3"/>
        <v>1028064.6585990636</v>
      </c>
      <c r="E23" s="12">
        <f t="shared" si="1"/>
        <v>0.026554741181441764</v>
      </c>
      <c r="F23" s="12">
        <f>+(B23-D23)/D23</f>
        <v>0.3332826279190205</v>
      </c>
      <c r="H23" s="36">
        <v>1316421</v>
      </c>
      <c r="I23" s="36">
        <f t="shared" si="4"/>
        <v>1370700.7496876302</v>
      </c>
      <c r="J23" s="36">
        <v>1163872</v>
      </c>
      <c r="K23" s="36">
        <f t="shared" si="5"/>
        <v>1028064.6585990636</v>
      </c>
    </row>
    <row r="24" spans="1:11" ht="15">
      <c r="A24" s="5" t="s">
        <v>891</v>
      </c>
      <c r="B24" s="11">
        <f t="shared" si="2"/>
        <v>1148628.6963765097</v>
      </c>
      <c r="C24" s="12">
        <f t="shared" si="0"/>
        <v>0.02292924758147023</v>
      </c>
      <c r="D24" s="11">
        <f t="shared" si="3"/>
        <v>897128.3455525129</v>
      </c>
      <c r="E24" s="12">
        <f t="shared" si="1"/>
        <v>0.023172677733271637</v>
      </c>
      <c r="F24" s="12">
        <f t="shared" si="6"/>
        <v>0.2803393205340154</v>
      </c>
      <c r="H24" s="36">
        <v>1103143</v>
      </c>
      <c r="I24" s="36">
        <f t="shared" si="4"/>
        <v>1148628.6963765097</v>
      </c>
      <c r="J24" s="36">
        <v>1015639</v>
      </c>
      <c r="K24" s="36">
        <f t="shared" si="5"/>
        <v>897128.3455525129</v>
      </c>
    </row>
    <row r="25" spans="1:11" ht="15">
      <c r="A25" s="5" t="s">
        <v>917</v>
      </c>
      <c r="B25" s="11">
        <f t="shared" si="2"/>
        <v>917718.6588921283</v>
      </c>
      <c r="C25" s="12">
        <f t="shared" si="0"/>
        <v>0.018319756772796895</v>
      </c>
      <c r="D25" s="11">
        <f t="shared" si="3"/>
        <v>679516.827135412</v>
      </c>
      <c r="E25" s="12">
        <f t="shared" si="1"/>
        <v>0.017551807974417032</v>
      </c>
      <c r="F25" s="12">
        <f t="shared" si="6"/>
        <v>0.3505458912046164</v>
      </c>
      <c r="H25" s="36">
        <v>881377</v>
      </c>
      <c r="I25" s="36">
        <f t="shared" si="4"/>
        <v>917718.6588921283</v>
      </c>
      <c r="J25" s="36">
        <v>769281</v>
      </c>
      <c r="K25" s="36">
        <f t="shared" si="5"/>
        <v>679516.827135412</v>
      </c>
    </row>
    <row r="26" spans="1:13" ht="15">
      <c r="A26" s="5" t="s">
        <v>894</v>
      </c>
      <c r="B26" s="11">
        <f t="shared" si="2"/>
        <v>884841.7326114118</v>
      </c>
      <c r="C26" s="12">
        <f t="shared" si="0"/>
        <v>0.0176634583668922</v>
      </c>
      <c r="D26" s="11">
        <f t="shared" si="3"/>
        <v>698472.7497570885</v>
      </c>
      <c r="E26" s="12">
        <f t="shared" si="1"/>
        <v>0.01804143634055501</v>
      </c>
      <c r="F26" s="12">
        <f>+(B26-D26)/D26</f>
        <v>0.26682355599289714</v>
      </c>
      <c r="H26" s="36">
        <v>849802</v>
      </c>
      <c r="I26" s="36">
        <f t="shared" si="4"/>
        <v>884841.7326114118</v>
      </c>
      <c r="J26" s="36">
        <v>790741</v>
      </c>
      <c r="K26" s="36">
        <f t="shared" si="5"/>
        <v>698472.7497570885</v>
      </c>
      <c r="M26" s="36"/>
    </row>
    <row r="27" spans="1:11" ht="15">
      <c r="A27" s="28" t="s">
        <v>892</v>
      </c>
      <c r="B27" s="11">
        <f t="shared" si="2"/>
        <v>767262.5989171178</v>
      </c>
      <c r="C27" s="12">
        <f t="shared" si="0"/>
        <v>0.01531631078526193</v>
      </c>
      <c r="D27" s="11">
        <f t="shared" si="3"/>
        <v>630394.841445102</v>
      </c>
      <c r="E27" s="12">
        <f t="shared" si="1"/>
        <v>0.016282995156649136</v>
      </c>
      <c r="F27" s="12">
        <f>+(B27-D27)/D27</f>
        <v>0.21711433608540234</v>
      </c>
      <c r="H27" s="36">
        <v>736879</v>
      </c>
      <c r="I27" s="36">
        <f t="shared" si="4"/>
        <v>767262.5989171178</v>
      </c>
      <c r="J27" s="36">
        <v>713670</v>
      </c>
      <c r="K27" s="36">
        <f t="shared" si="5"/>
        <v>630394.841445102</v>
      </c>
    </row>
    <row r="28" spans="1:11" ht="15">
      <c r="A28" s="5" t="s">
        <v>803</v>
      </c>
      <c r="B28" s="11">
        <f t="shared" si="2"/>
        <v>744170.1374427321</v>
      </c>
      <c r="C28" s="12">
        <f t="shared" si="0"/>
        <v>0.014855332604861158</v>
      </c>
      <c r="D28" s="11">
        <f t="shared" si="3"/>
        <v>637485.2044872361</v>
      </c>
      <c r="E28" s="12">
        <f t="shared" si="1"/>
        <v>0.016466138068810813</v>
      </c>
      <c r="F28" s="12">
        <f>+(B28-D28)/D28</f>
        <v>0.16735279847209708</v>
      </c>
      <c r="H28" s="36">
        <v>714701</v>
      </c>
      <c r="I28" s="36">
        <f t="shared" si="4"/>
        <v>744170.1374427321</v>
      </c>
      <c r="J28" s="36">
        <v>721697</v>
      </c>
      <c r="K28" s="36">
        <f t="shared" si="5"/>
        <v>637485.2044872361</v>
      </c>
    </row>
    <row r="29" spans="1:11" ht="15">
      <c r="A29" s="5" t="s">
        <v>896</v>
      </c>
      <c r="B29" s="11">
        <f t="shared" si="2"/>
        <v>640039.566847147</v>
      </c>
      <c r="C29" s="12">
        <f t="shared" si="0"/>
        <v>0.01277664900456628</v>
      </c>
      <c r="D29" s="11">
        <f t="shared" si="3"/>
        <v>422767.42337249353</v>
      </c>
      <c r="E29" s="12">
        <f t="shared" si="1"/>
        <v>0.01092001306892489</v>
      </c>
      <c r="F29" s="12">
        <f>+(B29-D29)/D29</f>
        <v>0.5139283006751881</v>
      </c>
      <c r="H29" s="36">
        <v>614694</v>
      </c>
      <c r="I29" s="36">
        <f t="shared" si="4"/>
        <v>640039.566847147</v>
      </c>
      <c r="J29" s="36">
        <v>478615</v>
      </c>
      <c r="K29" s="36">
        <f t="shared" si="5"/>
        <v>422767.42337249353</v>
      </c>
    </row>
    <row r="30" spans="1:13" ht="15">
      <c r="A30" s="5" t="s">
        <v>893</v>
      </c>
      <c r="B30" s="11">
        <f t="shared" si="2"/>
        <v>583563.0987088713</v>
      </c>
      <c r="C30" s="12">
        <f t="shared" si="0"/>
        <v>0.01164924993770102</v>
      </c>
      <c r="D30" s="11">
        <f t="shared" si="3"/>
        <v>533784.1180107764</v>
      </c>
      <c r="E30" s="12">
        <f t="shared" si="1"/>
        <v>0.013787556047161295</v>
      </c>
      <c r="F30" s="12">
        <f t="shared" si="6"/>
        <v>0.09325676620653964</v>
      </c>
      <c r="H30" s="36">
        <v>560454</v>
      </c>
      <c r="I30" s="36">
        <f t="shared" si="4"/>
        <v>583563.0987088713</v>
      </c>
      <c r="J30" s="36">
        <v>604297</v>
      </c>
      <c r="K30" s="36">
        <f t="shared" si="5"/>
        <v>533784.1180107764</v>
      </c>
      <c r="M30" s="36"/>
    </row>
    <row r="31" spans="1:11" ht="15">
      <c r="A31" s="5" t="s">
        <v>895</v>
      </c>
      <c r="B31" s="11">
        <f t="shared" si="2"/>
        <v>526159.9333610996</v>
      </c>
      <c r="C31" s="12">
        <f t="shared" si="0"/>
        <v>0.010503351881722372</v>
      </c>
      <c r="D31" s="11">
        <f t="shared" si="3"/>
        <v>446392.54482819536</v>
      </c>
      <c r="E31" s="12">
        <f t="shared" si="1"/>
        <v>0.011530246073618569</v>
      </c>
      <c r="F31" s="12">
        <f t="shared" si="6"/>
        <v>0.17869337079454264</v>
      </c>
      <c r="H31" s="36">
        <v>505324</v>
      </c>
      <c r="I31" s="36">
        <f t="shared" si="4"/>
        <v>526159.9333610996</v>
      </c>
      <c r="J31" s="36">
        <v>505361</v>
      </c>
      <c r="K31" s="36">
        <f t="shared" si="5"/>
        <v>446392.54482819536</v>
      </c>
    </row>
    <row r="32" spans="1:11" ht="15">
      <c r="A32" s="28" t="s">
        <v>897</v>
      </c>
      <c r="B32" s="11">
        <f t="shared" si="2"/>
        <v>397109.53769262804</v>
      </c>
      <c r="C32" s="12">
        <f t="shared" si="0"/>
        <v>0.007927211757325607</v>
      </c>
      <c r="D32" s="11">
        <f t="shared" si="3"/>
        <v>320636.86953449337</v>
      </c>
      <c r="E32" s="12">
        <f t="shared" si="1"/>
        <v>0.008281997647228466</v>
      </c>
      <c r="F32" s="12">
        <f t="shared" si="6"/>
        <v>0.238502416360162</v>
      </c>
      <c r="H32" s="36">
        <v>381384</v>
      </c>
      <c r="I32" s="36">
        <f t="shared" si="4"/>
        <v>397109.53769262804</v>
      </c>
      <c r="J32" s="36">
        <v>362993</v>
      </c>
      <c r="K32" s="36">
        <f t="shared" si="5"/>
        <v>320636.86953449337</v>
      </c>
    </row>
    <row r="33" spans="1:11" ht="15">
      <c r="A33" s="5" t="s">
        <v>899</v>
      </c>
      <c r="B33" s="11">
        <f t="shared" si="2"/>
        <v>369623.0737192836</v>
      </c>
      <c r="C33" s="12">
        <f t="shared" si="0"/>
        <v>0.007378519268993948</v>
      </c>
      <c r="D33" s="11">
        <f t="shared" si="3"/>
        <v>296789.1529016871</v>
      </c>
      <c r="E33" s="12">
        <f t="shared" si="1"/>
        <v>0.007666015045691041</v>
      </c>
      <c r="F33" s="12">
        <f>+(B33-D33)/D33</f>
        <v>0.2454062761576841</v>
      </c>
      <c r="H33" s="36">
        <v>354986</v>
      </c>
      <c r="I33" s="36">
        <f t="shared" si="4"/>
        <v>369623.0737192836</v>
      </c>
      <c r="J33" s="36">
        <v>335995</v>
      </c>
      <c r="K33" s="36">
        <f t="shared" si="5"/>
        <v>296789.1529016871</v>
      </c>
    </row>
    <row r="34" spans="1:11" ht="15">
      <c r="A34" s="5" t="s">
        <v>898</v>
      </c>
      <c r="B34" s="11">
        <f t="shared" si="2"/>
        <v>307786.33902540605</v>
      </c>
      <c r="C34" s="12">
        <f t="shared" si="0"/>
        <v>0.006144117060605412</v>
      </c>
      <c r="D34" s="11">
        <f t="shared" si="3"/>
        <v>277078.8799576009</v>
      </c>
      <c r="E34" s="12">
        <f t="shared" si="1"/>
        <v>0.007156901934693706</v>
      </c>
      <c r="F34" s="12">
        <f t="shared" si="6"/>
        <v>0.11082569365266691</v>
      </c>
      <c r="H34" s="36">
        <v>295598</v>
      </c>
      <c r="I34" s="36">
        <f t="shared" si="4"/>
        <v>307786.33902540605</v>
      </c>
      <c r="J34" s="36">
        <v>313681</v>
      </c>
      <c r="K34" s="36">
        <f t="shared" si="5"/>
        <v>277078.8799576009</v>
      </c>
    </row>
    <row r="35" spans="1:11" ht="15">
      <c r="A35" s="5" t="s">
        <v>733</v>
      </c>
      <c r="B35" s="11">
        <f t="shared" si="2"/>
        <v>5351800.291545189</v>
      </c>
      <c r="C35" s="12">
        <f t="shared" si="0"/>
        <v>0.10683413559014905</v>
      </c>
      <c r="D35" s="11">
        <f t="shared" si="3"/>
        <v>4082286.90045049</v>
      </c>
      <c r="E35" s="12">
        <f t="shared" si="1"/>
        <v>0.10544479976344516</v>
      </c>
      <c r="F35" s="12">
        <f t="shared" si="6"/>
        <v>0.31098093349455797</v>
      </c>
      <c r="H35" s="36">
        <f>+H37-H38</f>
        <v>5139869</v>
      </c>
      <c r="I35" s="36">
        <f t="shared" si="4"/>
        <v>5351800.291545189</v>
      </c>
      <c r="J35" s="36">
        <f>+J37-J38</f>
        <v>4621557</v>
      </c>
      <c r="K35" s="36">
        <f t="shared" si="5"/>
        <v>4082286.90045049</v>
      </c>
    </row>
    <row r="36" spans="1:11" ht="15">
      <c r="A36" s="5"/>
      <c r="B36" s="11"/>
      <c r="C36" s="12"/>
      <c r="D36" s="11"/>
      <c r="E36" s="12"/>
      <c r="F36" s="12"/>
      <c r="H36" s="36"/>
      <c r="I36" s="36">
        <f>+H36*$I$14</f>
        <v>0</v>
      </c>
      <c r="J36" s="36"/>
      <c r="K36" s="36">
        <f>+J36*$K$14</f>
        <v>0</v>
      </c>
    </row>
    <row r="37" spans="1:11" ht="14.25">
      <c r="A37" s="13" t="s">
        <v>674</v>
      </c>
      <c r="B37" s="14">
        <f>SUM(B15:B35)</f>
        <v>50094478.34235734</v>
      </c>
      <c r="C37" s="15">
        <f>SUM(C15:C35)</f>
        <v>1</v>
      </c>
      <c r="D37" s="14">
        <f>SUM(D15:D35)</f>
        <v>38714919.17675117</v>
      </c>
      <c r="E37" s="15">
        <f>SUM(E15:E35)</f>
        <v>1</v>
      </c>
      <c r="F37" s="16">
        <f>+(B37/D37)-1</f>
        <v>0.29393214315270355</v>
      </c>
      <c r="H37" s="36">
        <v>48110737</v>
      </c>
      <c r="I37" s="36">
        <f>+H37/$I$14</f>
        <v>50094478.34235735</v>
      </c>
      <c r="J37" s="36">
        <v>43829160</v>
      </c>
      <c r="K37" s="36">
        <f>+J37/$K$14</f>
        <v>38714919.17675117</v>
      </c>
    </row>
    <row r="38" spans="1:11" ht="15">
      <c r="A38" s="69" t="s">
        <v>778</v>
      </c>
      <c r="B38" s="11"/>
      <c r="C38" s="11"/>
      <c r="D38" s="11"/>
      <c r="E38" s="11"/>
      <c r="F38" s="11"/>
      <c r="H38" s="36">
        <f>SUM(H15:H34)</f>
        <v>42970868</v>
      </c>
      <c r="I38" s="36">
        <f>+H38/$I$14</f>
        <v>44742678.05081216</v>
      </c>
      <c r="J38" s="36">
        <f>SUM(J15:J34)</f>
        <v>39207603</v>
      </c>
      <c r="K38" s="36">
        <f>+J38/$K$14</f>
        <v>34632632.276300676</v>
      </c>
    </row>
    <row r="39" spans="1:11" ht="12.75">
      <c r="A39" s="68" t="s">
        <v>819</v>
      </c>
      <c r="B39" s="67"/>
      <c r="C39" s="67"/>
      <c r="D39" s="67"/>
      <c r="E39" s="67"/>
      <c r="F39" s="67"/>
      <c r="H39" s="36">
        <f>SUM(H15:H35)</f>
        <v>48110737</v>
      </c>
      <c r="I39" s="36">
        <f>SUM(I15:I35)</f>
        <v>50094478.34235734</v>
      </c>
      <c r="J39" s="36">
        <f>SUM(J15:J35)</f>
        <v>43829160</v>
      </c>
      <c r="K39" s="36">
        <f>SUM(K15:K35)</f>
        <v>38714919.17675117</v>
      </c>
    </row>
    <row r="40" spans="1:6" s="146" customFormat="1" ht="12">
      <c r="A40" s="66" t="s">
        <v>1042</v>
      </c>
      <c r="B40" s="1"/>
      <c r="C40" s="1"/>
      <c r="D40" s="145"/>
      <c r="E40" s="3"/>
      <c r="F40" s="3"/>
    </row>
    <row r="41" spans="1:6" s="146" customFormat="1" ht="12">
      <c r="A41" s="66" t="s">
        <v>1043</v>
      </c>
      <c r="B41" s="1"/>
      <c r="C41" s="1"/>
      <c r="D41" s="145"/>
      <c r="E41" s="3"/>
      <c r="F41" s="3"/>
    </row>
    <row r="43" spans="1:2" ht="12.75">
      <c r="A43">
        <v>1988</v>
      </c>
      <c r="B43" s="36">
        <v>225</v>
      </c>
    </row>
    <row r="44" spans="1:2" ht="12.75">
      <c r="A44">
        <v>1989</v>
      </c>
      <c r="B44" s="36">
        <v>786</v>
      </c>
    </row>
    <row r="45" spans="1:2" ht="12.75">
      <c r="A45">
        <v>1990</v>
      </c>
      <c r="B45" s="36">
        <v>5599</v>
      </c>
    </row>
    <row r="46" spans="1:2" ht="12.75">
      <c r="A46">
        <v>1991</v>
      </c>
      <c r="B46" s="36">
        <v>8426</v>
      </c>
    </row>
    <row r="47" spans="1:2" ht="12.75">
      <c r="A47">
        <v>1992</v>
      </c>
      <c r="B47" s="36">
        <v>9270</v>
      </c>
    </row>
    <row r="48" spans="1:2" ht="12.75">
      <c r="A48">
        <v>1993</v>
      </c>
      <c r="B48" s="36">
        <v>10088</v>
      </c>
    </row>
    <row r="49" spans="1:2" ht="12.75">
      <c r="A49">
        <v>1994</v>
      </c>
      <c r="B49" s="36">
        <v>13199</v>
      </c>
    </row>
    <row r="50" spans="1:2" ht="12.75">
      <c r="A50">
        <v>1995</v>
      </c>
      <c r="B50" s="36">
        <v>17942</v>
      </c>
    </row>
    <row r="51" spans="1:2" ht="12.75">
      <c r="A51">
        <v>1996</v>
      </c>
      <c r="B51" s="36">
        <v>22328</v>
      </c>
    </row>
    <row r="52" spans="1:2" ht="12.75">
      <c r="A52">
        <v>1997</v>
      </c>
      <c r="B52" s="36">
        <v>23903</v>
      </c>
    </row>
    <row r="53" spans="1:2" ht="12.75">
      <c r="A53">
        <v>1998</v>
      </c>
      <c r="B53" s="36">
        <v>31831</v>
      </c>
    </row>
    <row r="54" spans="1:2" ht="12.75">
      <c r="A54" s="57">
        <v>1999</v>
      </c>
      <c r="B54" s="36">
        <v>31969</v>
      </c>
    </row>
    <row r="55" spans="1:2" ht="12.75">
      <c r="A55" s="80">
        <v>2000</v>
      </c>
      <c r="B55" s="36">
        <v>32806.306</v>
      </c>
    </row>
    <row r="56" spans="1:2" ht="12.75">
      <c r="A56" s="80">
        <v>2001</v>
      </c>
      <c r="B56" s="36">
        <v>38714.919</v>
      </c>
    </row>
    <row r="57" spans="1:2" ht="12.75">
      <c r="A57" s="80">
        <v>2002</v>
      </c>
      <c r="B57" s="36">
        <f>+B37/1000</f>
        <v>50094.47834235734</v>
      </c>
    </row>
    <row r="58" spans="1:6" ht="39.75" customHeight="1">
      <c r="A58" s="578" t="s">
        <v>973</v>
      </c>
      <c r="B58" s="578"/>
      <c r="C58" s="578"/>
      <c r="D58" s="578"/>
      <c r="E58" s="578"/>
      <c r="F58" s="578"/>
    </row>
    <row r="62" ht="39" customHeight="1"/>
    <row r="63" ht="39" customHeight="1"/>
  </sheetData>
  <mergeCells count="5">
    <mergeCell ref="A5:F5"/>
    <mergeCell ref="A7:F7"/>
    <mergeCell ref="A8:F8"/>
    <mergeCell ref="A58:F58"/>
    <mergeCell ref="A6:F6"/>
  </mergeCells>
  <printOptions horizontalCentered="1"/>
  <pageMargins left="0.75" right="0.75" top="1" bottom="1" header="0" footer="0"/>
  <pageSetup horizontalDpi="300" verticalDpi="300" orientation="portrait" scale="90" r:id="rId2"/>
  <headerFooter alignWithMargins="0">
    <oddFooter>&amp;C48</oddFooter>
  </headerFooter>
  <drawing r:id="rId1"/>
</worksheet>
</file>

<file path=xl/worksheets/sheet35.xml><?xml version="1.0" encoding="utf-8"?>
<worksheet xmlns="http://schemas.openxmlformats.org/spreadsheetml/2006/main" xmlns:r="http://schemas.openxmlformats.org/officeDocument/2006/relationships">
  <dimension ref="A1:H38"/>
  <sheetViews>
    <sheetView workbookViewId="0" topLeftCell="A10">
      <selection activeCell="B15" sqref="B15:B26"/>
    </sheetView>
  </sheetViews>
  <sheetFormatPr defaultColWidth="11.421875" defaultRowHeight="12.75"/>
  <cols>
    <col min="1" max="1" width="44.00390625" style="0" customWidth="1"/>
    <col min="2" max="3" width="28.00390625" style="0" customWidth="1"/>
    <col min="4" max="4" width="10.140625" style="0" customWidth="1"/>
  </cols>
  <sheetData>
    <row r="1" spans="1:3" ht="12.75">
      <c r="A1" s="1" t="s">
        <v>658</v>
      </c>
      <c r="B1" s="1"/>
      <c r="C1" s="1"/>
    </row>
    <row r="2" spans="1:3" ht="12.75">
      <c r="A2" s="1" t="s">
        <v>659</v>
      </c>
      <c r="B2" s="1"/>
      <c r="C2" s="1"/>
    </row>
    <row r="3" spans="1:3" ht="12.75">
      <c r="A3" s="1"/>
      <c r="B3" s="1"/>
      <c r="C3" s="1"/>
    </row>
    <row r="4" spans="1:3" ht="13.5" thickBot="1">
      <c r="A4" s="1"/>
      <c r="B4" s="1"/>
      <c r="C4" s="1"/>
    </row>
    <row r="5" spans="1:3" ht="18">
      <c r="A5" s="522" t="s">
        <v>936</v>
      </c>
      <c r="B5" s="523"/>
      <c r="C5" s="524"/>
    </row>
    <row r="6" spans="1:3" ht="18.75" thickBot="1">
      <c r="A6" s="516" t="s">
        <v>906</v>
      </c>
      <c r="B6" s="517"/>
      <c r="C6" s="518"/>
    </row>
    <row r="7" spans="1:3" ht="15.75">
      <c r="A7" s="510" t="s">
        <v>980</v>
      </c>
      <c r="B7" s="510"/>
      <c r="C7" s="510"/>
    </row>
    <row r="8" spans="1:3" ht="15.75">
      <c r="A8" s="511" t="s">
        <v>981</v>
      </c>
      <c r="B8" s="511"/>
      <c r="C8" s="511"/>
    </row>
    <row r="9" spans="1:3" ht="15">
      <c r="A9" s="22"/>
      <c r="B9" s="2"/>
      <c r="C9" s="2"/>
    </row>
    <row r="10" spans="1:3" ht="15">
      <c r="A10" s="22"/>
      <c r="B10" s="2"/>
      <c r="C10" s="2"/>
    </row>
    <row r="11" spans="1:3" ht="14.25">
      <c r="A11" s="7" t="s">
        <v>661</v>
      </c>
      <c r="B11" s="7" t="s">
        <v>735</v>
      </c>
      <c r="C11" s="7" t="s">
        <v>712</v>
      </c>
    </row>
    <row r="12" spans="1:3" ht="15">
      <c r="A12" s="23" t="s">
        <v>714</v>
      </c>
      <c r="B12" s="23" t="s">
        <v>736</v>
      </c>
      <c r="C12" s="24" t="s">
        <v>715</v>
      </c>
    </row>
    <row r="13" spans="1:8" ht="15">
      <c r="A13" s="9"/>
      <c r="B13" s="122" t="s">
        <v>979</v>
      </c>
      <c r="C13" s="9" t="s">
        <v>716</v>
      </c>
      <c r="E13" s="42" t="s">
        <v>979</v>
      </c>
      <c r="F13" s="42">
        <v>32.238</v>
      </c>
      <c r="G13" s="42"/>
      <c r="H13" s="42"/>
    </row>
    <row r="14" spans="1:8" ht="15">
      <c r="A14" s="5" t="s">
        <v>686</v>
      </c>
      <c r="B14" s="19"/>
      <c r="C14" s="20"/>
      <c r="E14" s="42" t="s">
        <v>948</v>
      </c>
      <c r="F14" s="42" t="s">
        <v>741</v>
      </c>
      <c r="G14" s="42"/>
      <c r="H14" s="42"/>
    </row>
    <row r="15" spans="1:8" ht="15">
      <c r="A15" s="5" t="s">
        <v>937</v>
      </c>
      <c r="B15" s="131">
        <f aca="true" t="shared" si="0" ref="B15:B26">+F15</f>
        <v>697614.6162913332</v>
      </c>
      <c r="C15" s="12">
        <f aca="true" t="shared" si="1" ref="C15:C26">+B15/$B$28</f>
        <v>0.4324942307692306</v>
      </c>
      <c r="E15" s="131">
        <v>22489700</v>
      </c>
      <c r="F15" s="131">
        <f aca="true" t="shared" si="2" ref="F15:F26">+E15/$F$13</f>
        <v>697614.6162913332</v>
      </c>
      <c r="G15" s="131"/>
      <c r="H15" s="131"/>
    </row>
    <row r="16" spans="1:8" ht="15">
      <c r="A16" s="5" t="s">
        <v>938</v>
      </c>
      <c r="B16" s="131">
        <f t="shared" si="0"/>
        <v>130740.12035486073</v>
      </c>
      <c r="C16" s="12">
        <f t="shared" si="1"/>
        <v>0.08105384615384613</v>
      </c>
      <c r="E16" s="131">
        <v>4214800</v>
      </c>
      <c r="F16" s="131">
        <f t="shared" si="2"/>
        <v>130740.12035486073</v>
      </c>
      <c r="G16" s="131"/>
      <c r="H16" s="131"/>
    </row>
    <row r="17" spans="1:8" ht="15">
      <c r="A17" s="5" t="s">
        <v>939</v>
      </c>
      <c r="B17" s="131">
        <f t="shared" si="0"/>
        <v>70630.93243997767</v>
      </c>
      <c r="C17" s="12">
        <f t="shared" si="1"/>
        <v>0.043788461538461526</v>
      </c>
      <c r="E17" s="131">
        <v>2277000</v>
      </c>
      <c r="F17" s="131">
        <f t="shared" si="2"/>
        <v>70630.93243997767</v>
      </c>
      <c r="G17" s="131"/>
      <c r="H17" s="131"/>
    </row>
    <row r="18" spans="1:8" ht="15">
      <c r="A18" s="5" t="s">
        <v>940</v>
      </c>
      <c r="B18" s="131">
        <f t="shared" si="0"/>
        <v>53557.91302189962</v>
      </c>
      <c r="C18" s="12">
        <f t="shared" si="1"/>
        <v>0.03320384615384614</v>
      </c>
      <c r="E18" s="131">
        <v>1726600</v>
      </c>
      <c r="F18" s="131">
        <f t="shared" si="2"/>
        <v>53557.91302189962</v>
      </c>
      <c r="G18" s="131"/>
      <c r="H18" s="131"/>
    </row>
    <row r="19" spans="1:8" ht="15">
      <c r="A19" s="5" t="s">
        <v>941</v>
      </c>
      <c r="B19" s="131">
        <f t="shared" si="0"/>
        <v>47112.10372851914</v>
      </c>
      <c r="C19" s="12">
        <f t="shared" si="1"/>
        <v>0.0292076923076923</v>
      </c>
      <c r="E19" s="131">
        <v>1518800</v>
      </c>
      <c r="F19" s="131">
        <f t="shared" si="2"/>
        <v>47112.10372851914</v>
      </c>
      <c r="G19" s="131"/>
      <c r="H19" s="131"/>
    </row>
    <row r="20" spans="1:8" ht="15">
      <c r="A20" s="5" t="s">
        <v>942</v>
      </c>
      <c r="B20" s="131">
        <f t="shared" si="0"/>
        <v>35327.87393758918</v>
      </c>
      <c r="C20" s="12">
        <f t="shared" si="1"/>
        <v>0.02190192307692307</v>
      </c>
      <c r="E20" s="131">
        <v>1138900</v>
      </c>
      <c r="F20" s="131">
        <f t="shared" si="2"/>
        <v>35327.87393758918</v>
      </c>
      <c r="G20" s="131"/>
      <c r="H20" s="131"/>
    </row>
    <row r="21" spans="1:8" ht="15">
      <c r="A21" s="5" t="s">
        <v>943</v>
      </c>
      <c r="B21" s="131">
        <f t="shared" si="0"/>
        <v>28084.868788386375</v>
      </c>
      <c r="C21" s="12">
        <f t="shared" si="1"/>
        <v>0.017411538461538454</v>
      </c>
      <c r="E21" s="131">
        <v>905400</v>
      </c>
      <c r="F21" s="131">
        <f t="shared" si="2"/>
        <v>28084.868788386375</v>
      </c>
      <c r="G21" s="131"/>
      <c r="H21" s="131"/>
    </row>
    <row r="22" spans="1:8" ht="15">
      <c r="A22" s="5" t="s">
        <v>944</v>
      </c>
      <c r="B22" s="131">
        <f t="shared" si="0"/>
        <v>21316.45883739686</v>
      </c>
      <c r="C22" s="12">
        <f t="shared" si="1"/>
        <v>0.013215384615384611</v>
      </c>
      <c r="E22" s="131">
        <v>687200</v>
      </c>
      <c r="F22" s="131">
        <f t="shared" si="2"/>
        <v>21316.45883739686</v>
      </c>
      <c r="G22" s="149"/>
      <c r="H22" s="131"/>
    </row>
    <row r="23" spans="1:8" ht="15">
      <c r="A23" s="5" t="s">
        <v>945</v>
      </c>
      <c r="B23" s="131">
        <f t="shared" si="0"/>
        <v>17578.633910292203</v>
      </c>
      <c r="C23" s="12">
        <f t="shared" si="1"/>
        <v>0.01089807692307692</v>
      </c>
      <c r="E23" s="131">
        <v>566700</v>
      </c>
      <c r="F23" s="131">
        <f t="shared" si="2"/>
        <v>17578.633910292203</v>
      </c>
      <c r="G23" s="149"/>
      <c r="H23" s="131"/>
    </row>
    <row r="24" spans="1:8" ht="15">
      <c r="A24" s="5" t="s">
        <v>946</v>
      </c>
      <c r="B24" s="131">
        <f t="shared" si="0"/>
        <v>16908.61715987344</v>
      </c>
      <c r="C24" s="12">
        <f t="shared" si="1"/>
        <v>0.010482692307692304</v>
      </c>
      <c r="E24" s="131">
        <v>545100</v>
      </c>
      <c r="F24" s="131">
        <f t="shared" si="2"/>
        <v>16908.61715987344</v>
      </c>
      <c r="G24" s="149"/>
      <c r="H24" s="131"/>
    </row>
    <row r="25" spans="1:8" ht="15">
      <c r="A25" s="5" t="s">
        <v>947</v>
      </c>
      <c r="B25" s="131">
        <f t="shared" si="0"/>
        <v>15062.969166821764</v>
      </c>
      <c r="C25" s="12">
        <f t="shared" si="1"/>
        <v>0.009338461538461535</v>
      </c>
      <c r="E25" s="131">
        <v>485600</v>
      </c>
      <c r="F25" s="131">
        <f t="shared" si="2"/>
        <v>15062.969166821764</v>
      </c>
      <c r="G25" s="149"/>
      <c r="H25" s="131"/>
    </row>
    <row r="26" spans="1:8" ht="15">
      <c r="A26" s="5" t="s">
        <v>733</v>
      </c>
      <c r="B26" s="131">
        <f t="shared" si="0"/>
        <v>479068.1804082139</v>
      </c>
      <c r="C26" s="12">
        <f t="shared" si="1"/>
        <v>0.29700384615384606</v>
      </c>
      <c r="E26" s="131">
        <f>+E30-E29</f>
        <v>15444200</v>
      </c>
      <c r="F26" s="131">
        <f t="shared" si="2"/>
        <v>479068.1804082139</v>
      </c>
      <c r="G26" s="149"/>
      <c r="H26" s="131"/>
    </row>
    <row r="27" spans="1:6" ht="15">
      <c r="A27" s="5" t="s">
        <v>686</v>
      </c>
      <c r="B27" s="27"/>
      <c r="C27" s="12"/>
      <c r="E27" s="36"/>
      <c r="F27" s="224"/>
    </row>
    <row r="28" spans="1:8" ht="14.25">
      <c r="A28" s="13" t="s">
        <v>974</v>
      </c>
      <c r="B28" s="21">
        <f>SUM(B15:B27)</f>
        <v>1613003.2880451647</v>
      </c>
      <c r="C28" s="16">
        <f>SUM(C15:C27)</f>
        <v>0.9999999999999993</v>
      </c>
      <c r="E28" s="36">
        <f>SUM(E15:E26)</f>
        <v>52000000</v>
      </c>
      <c r="F28" s="90">
        <f>SUM(F15:F27)</f>
        <v>1613003.2880451647</v>
      </c>
      <c r="G28" s="36"/>
      <c r="H28" s="36"/>
    </row>
    <row r="29" spans="1:8" ht="14.25">
      <c r="A29" s="2"/>
      <c r="B29" s="175"/>
      <c r="C29" s="59"/>
      <c r="E29" s="36">
        <f>SUM(E15:E25)</f>
        <v>36555800</v>
      </c>
      <c r="F29" s="90"/>
      <c r="G29" s="36"/>
      <c r="H29" s="36"/>
    </row>
    <row r="30" spans="1:6" ht="15">
      <c r="A30" s="13" t="s">
        <v>950</v>
      </c>
      <c r="B30" s="21">
        <v>4200000</v>
      </c>
      <c r="C30" s="16">
        <v>1</v>
      </c>
      <c r="E30" s="36">
        <v>52000000</v>
      </c>
      <c r="F30" s="131"/>
    </row>
    <row r="31" spans="1:6" ht="15">
      <c r="A31" s="2"/>
      <c r="B31" s="175"/>
      <c r="C31" s="59"/>
      <c r="E31" s="36"/>
      <c r="F31" s="131"/>
    </row>
    <row r="32" spans="1:5" ht="12.75">
      <c r="A32" s="17" t="s">
        <v>949</v>
      </c>
      <c r="B32" s="18"/>
      <c r="C32" s="18"/>
      <c r="E32" s="90">
        <f>SUM(E15:E26)</f>
        <v>52000000</v>
      </c>
    </row>
    <row r="33" spans="1:5" ht="12.75">
      <c r="A33" s="17"/>
      <c r="B33" s="18"/>
      <c r="C33" s="18"/>
      <c r="E33" s="90"/>
    </row>
    <row r="34" ht="12.75">
      <c r="A34" s="72" t="s">
        <v>1072</v>
      </c>
    </row>
    <row r="37" ht="12.75">
      <c r="A37" s="80"/>
    </row>
    <row r="38" ht="12.75">
      <c r="A38" s="80"/>
    </row>
  </sheetData>
  <mergeCells count="4">
    <mergeCell ref="A5:C5"/>
    <mergeCell ref="A6:C6"/>
    <mergeCell ref="A7:C7"/>
    <mergeCell ref="A8:C8"/>
  </mergeCells>
  <printOptions horizontalCentered="1"/>
  <pageMargins left="0.75" right="0.75" top="1" bottom="1" header="0" footer="0"/>
  <pageSetup horizontalDpi="300" verticalDpi="300" orientation="portrait" scale="90" r:id="rId1"/>
  <headerFooter alignWithMargins="0">
    <oddFooter>&amp;C49</oddFooter>
  </headerFooter>
</worksheet>
</file>

<file path=xl/worksheets/sheet36.xml><?xml version="1.0" encoding="utf-8"?>
<worksheet xmlns="http://schemas.openxmlformats.org/spreadsheetml/2006/main" xmlns:r="http://schemas.openxmlformats.org/officeDocument/2006/relationships">
  <dimension ref="A1:M45"/>
  <sheetViews>
    <sheetView workbookViewId="0" topLeftCell="A1">
      <selection activeCell="A5" sqref="A5:F5"/>
    </sheetView>
  </sheetViews>
  <sheetFormatPr defaultColWidth="11.421875" defaultRowHeight="12.75"/>
  <cols>
    <col min="1" max="1" width="34.8515625" style="0" customWidth="1"/>
    <col min="2" max="2" width="15.8515625" style="0" customWidth="1"/>
    <col min="3" max="3" width="12.28125" style="0" customWidth="1"/>
    <col min="4" max="4" width="15.8515625" style="0" customWidth="1"/>
    <col min="5" max="6" width="12.28125" style="0" customWidth="1"/>
  </cols>
  <sheetData>
    <row r="1" spans="1:6" ht="14.25">
      <c r="A1" s="1" t="s">
        <v>658</v>
      </c>
      <c r="B1" s="2"/>
      <c r="C1" s="2"/>
      <c r="D1" s="2"/>
      <c r="E1" s="2"/>
      <c r="F1" s="2"/>
    </row>
    <row r="2" spans="1:6" ht="14.25">
      <c r="A2" s="1" t="s">
        <v>659</v>
      </c>
      <c r="B2" s="2"/>
      <c r="C2" s="2"/>
      <c r="D2" s="2"/>
      <c r="E2" s="2"/>
      <c r="F2" s="2"/>
    </row>
    <row r="3" spans="1:6" ht="14.25">
      <c r="A3" s="1"/>
      <c r="B3" s="2"/>
      <c r="C3" s="2"/>
      <c r="D3" s="2"/>
      <c r="E3" s="2"/>
      <c r="F3" s="2"/>
    </row>
    <row r="4" spans="1:6" ht="13.5" thickBot="1">
      <c r="A4" s="4"/>
      <c r="B4" s="4"/>
      <c r="C4" s="4"/>
      <c r="D4" s="4"/>
      <c r="E4" s="4"/>
      <c r="F4" s="4"/>
    </row>
    <row r="5" spans="1:6" ht="18.75" thickBot="1">
      <c r="A5" s="579" t="s">
        <v>796</v>
      </c>
      <c r="B5" s="580"/>
      <c r="C5" s="580"/>
      <c r="D5" s="580"/>
      <c r="E5" s="580"/>
      <c r="F5" s="581"/>
    </row>
    <row r="6" spans="1:6" ht="15.75">
      <c r="A6" s="525" t="s">
        <v>1059</v>
      </c>
      <c r="B6" s="525"/>
      <c r="C6" s="525"/>
      <c r="D6" s="525"/>
      <c r="E6" s="525"/>
      <c r="F6" s="525"/>
    </row>
    <row r="7" spans="1:6" ht="15.75">
      <c r="A7" s="526" t="s">
        <v>1060</v>
      </c>
      <c r="B7" s="526"/>
      <c r="C7" s="526"/>
      <c r="D7" s="526"/>
      <c r="E7" s="526"/>
      <c r="F7" s="526"/>
    </row>
    <row r="8" spans="1:6" ht="15.75">
      <c r="A8" s="6"/>
      <c r="B8" s="5"/>
      <c r="C8" s="5"/>
      <c r="D8" s="5"/>
      <c r="E8" s="5"/>
      <c r="F8" s="5"/>
    </row>
    <row r="9" spans="1:6" ht="15">
      <c r="A9" s="2"/>
      <c r="B9" s="5"/>
      <c r="C9" s="5"/>
      <c r="D9" s="5"/>
      <c r="E9" s="5"/>
      <c r="F9" s="5"/>
    </row>
    <row r="10" spans="1:6" ht="15">
      <c r="A10" s="7"/>
      <c r="B10" s="551" t="s">
        <v>662</v>
      </c>
      <c r="C10" s="527"/>
      <c r="D10" s="527"/>
      <c r="E10" s="527"/>
      <c r="F10" s="527"/>
    </row>
    <row r="11" spans="1:6" ht="15">
      <c r="A11" s="23"/>
      <c r="B11" s="195" t="s">
        <v>1030</v>
      </c>
      <c r="C11" s="8" t="s">
        <v>665</v>
      </c>
      <c r="D11" s="195" t="s">
        <v>921</v>
      </c>
      <c r="E11" s="8" t="s">
        <v>665</v>
      </c>
      <c r="F11" s="8" t="s">
        <v>933</v>
      </c>
    </row>
    <row r="12" spans="1:6" ht="15">
      <c r="A12" s="196" t="s">
        <v>768</v>
      </c>
      <c r="B12" s="197">
        <v>2239000</v>
      </c>
      <c r="C12" s="198">
        <v>1</v>
      </c>
      <c r="D12" s="197">
        <v>2252700</v>
      </c>
      <c r="E12" s="198">
        <v>1</v>
      </c>
      <c r="F12" s="198">
        <f>(B12-D12)/D12</f>
        <v>-0.006081590979713233</v>
      </c>
    </row>
    <row r="13" spans="1:6" ht="15">
      <c r="A13" s="199" t="s">
        <v>770</v>
      </c>
      <c r="B13" s="200"/>
      <c r="C13" s="201"/>
      <c r="D13" s="200"/>
      <c r="E13" s="201"/>
      <c r="F13" s="201"/>
    </row>
    <row r="14" spans="1:6" ht="15">
      <c r="A14" s="202" t="s">
        <v>769</v>
      </c>
      <c r="B14" s="197">
        <v>1168000</v>
      </c>
      <c r="C14" s="198">
        <v>1</v>
      </c>
      <c r="D14" s="197">
        <v>1153061</v>
      </c>
      <c r="E14" s="198">
        <v>1</v>
      </c>
      <c r="F14" s="198">
        <f>(B14-D14)/D14</f>
        <v>0.0129559494250521</v>
      </c>
    </row>
    <row r="15" spans="1:6" ht="15">
      <c r="A15" s="199" t="s">
        <v>771</v>
      </c>
      <c r="B15" s="203"/>
      <c r="C15" s="201"/>
      <c r="D15" s="203"/>
      <c r="E15" s="201"/>
      <c r="F15" s="201"/>
    </row>
    <row r="16" spans="1:6" ht="14.25">
      <c r="A16" s="2"/>
      <c r="B16" s="155"/>
      <c r="C16" s="156"/>
      <c r="D16" s="155"/>
      <c r="E16" s="156"/>
      <c r="F16" s="156"/>
    </row>
    <row r="17" spans="1:6" ht="15">
      <c r="A17" s="148" t="s">
        <v>931</v>
      </c>
      <c r="B17" s="28"/>
      <c r="C17" s="28"/>
      <c r="D17" s="28"/>
      <c r="E17" s="28"/>
      <c r="F17" s="28"/>
    </row>
    <row r="18" spans="1:6" ht="15">
      <c r="A18" s="157" t="s">
        <v>930</v>
      </c>
      <c r="B18" s="28"/>
      <c r="C18" s="28"/>
      <c r="D18" s="28"/>
      <c r="E18" s="28"/>
      <c r="F18" s="28"/>
    </row>
    <row r="19" spans="1:6" ht="12.75">
      <c r="A19" s="147"/>
      <c r="B19" s="147"/>
      <c r="C19" s="147"/>
      <c r="D19" s="147"/>
      <c r="E19" s="147"/>
      <c r="F19" s="147"/>
    </row>
    <row r="20" spans="1:6" ht="15">
      <c r="A20" s="28" t="s">
        <v>856</v>
      </c>
      <c r="B20" s="28"/>
      <c r="C20" s="28"/>
      <c r="D20" s="28"/>
      <c r="E20" s="28"/>
      <c r="F20" s="28"/>
    </row>
    <row r="21" spans="1:6" ht="15">
      <c r="A21" s="28">
        <v>1998</v>
      </c>
      <c r="B21" s="31">
        <v>1346.732</v>
      </c>
      <c r="C21" s="28"/>
      <c r="D21" s="28"/>
      <c r="E21" s="28"/>
      <c r="F21" s="28"/>
    </row>
    <row r="22" spans="1:9" ht="15">
      <c r="A22" s="28">
        <v>1999</v>
      </c>
      <c r="B22" s="31">
        <v>1998.619</v>
      </c>
      <c r="C22" s="28"/>
      <c r="D22" s="28"/>
      <c r="E22" s="28"/>
      <c r="F22" s="28"/>
      <c r="I22" s="36"/>
    </row>
    <row r="23" spans="1:6" ht="15">
      <c r="A23" s="28">
        <v>2000</v>
      </c>
      <c r="B23" s="31">
        <v>2193.437</v>
      </c>
      <c r="C23" s="28"/>
      <c r="D23" s="28"/>
      <c r="E23" s="28"/>
      <c r="F23" s="28"/>
    </row>
    <row r="24" spans="1:13" s="100" customFormat="1" ht="15">
      <c r="A24" s="28">
        <v>2001</v>
      </c>
      <c r="B24" s="31">
        <v>2252.7</v>
      </c>
      <c r="H24" s="28"/>
      <c r="I24" s="83"/>
      <c r="J24" s="28"/>
      <c r="K24" s="28"/>
      <c r="L24" s="28"/>
      <c r="M24" s="28"/>
    </row>
    <row r="25" spans="1:13" s="100" customFormat="1" ht="15">
      <c r="A25" s="169">
        <v>2002</v>
      </c>
      <c r="B25" s="31">
        <v>2239</v>
      </c>
      <c r="H25" s="28"/>
      <c r="I25" s="83"/>
      <c r="J25" s="28"/>
      <c r="K25" s="28"/>
      <c r="L25" s="28"/>
      <c r="M25" s="28"/>
    </row>
    <row r="26" spans="8:13" ht="15">
      <c r="H26" s="28"/>
      <c r="I26" s="83"/>
      <c r="J26" s="28"/>
      <c r="K26" s="28"/>
      <c r="L26" s="28"/>
      <c r="M26" s="28"/>
    </row>
    <row r="27" spans="8:13" ht="15">
      <c r="H27" s="28"/>
      <c r="I27" s="83"/>
      <c r="J27" s="28"/>
      <c r="K27" s="28"/>
      <c r="L27" s="28"/>
      <c r="M27" s="28"/>
    </row>
    <row r="28" spans="8:13" ht="15">
      <c r="H28" s="28"/>
      <c r="I28" s="83"/>
      <c r="J28" s="28"/>
      <c r="K28" s="28"/>
      <c r="L28" s="28"/>
      <c r="M28" s="28"/>
    </row>
    <row r="29" spans="8:13" ht="15">
      <c r="H29" s="28"/>
      <c r="I29" s="83"/>
      <c r="J29" s="28"/>
      <c r="K29" s="28"/>
      <c r="L29" s="28"/>
      <c r="M29" s="28"/>
    </row>
    <row r="30" spans="1:6" ht="15">
      <c r="A30" s="28"/>
      <c r="B30" s="28"/>
      <c r="C30" s="28"/>
      <c r="D30" s="28"/>
      <c r="E30" s="28"/>
      <c r="F30" s="28"/>
    </row>
    <row r="31" spans="1:6" ht="15">
      <c r="A31" s="28"/>
      <c r="B31" s="28"/>
      <c r="C31" s="28"/>
      <c r="D31" s="28"/>
      <c r="E31" s="28"/>
      <c r="F31" s="28"/>
    </row>
    <row r="32" spans="1:6" ht="15">
      <c r="A32" s="28"/>
      <c r="B32" s="28"/>
      <c r="C32" s="28"/>
      <c r="D32" s="28"/>
      <c r="E32" s="28"/>
      <c r="F32" s="28"/>
    </row>
    <row r="33" spans="1:6" ht="15">
      <c r="A33" s="28"/>
      <c r="B33" s="28"/>
      <c r="C33" s="28"/>
      <c r="D33" s="28"/>
      <c r="E33" s="28"/>
      <c r="F33" s="28"/>
    </row>
    <row r="34" spans="1:6" ht="15">
      <c r="A34" s="28"/>
      <c r="B34" s="28"/>
      <c r="C34" s="28"/>
      <c r="D34" s="28"/>
      <c r="E34" s="28"/>
      <c r="F34" s="28"/>
    </row>
    <row r="35" spans="1:6" ht="15">
      <c r="A35" s="28"/>
      <c r="B35" s="28"/>
      <c r="C35" s="28"/>
      <c r="D35" s="28"/>
      <c r="E35" s="28"/>
      <c r="F35" s="28"/>
    </row>
    <row r="36" spans="1:6" ht="15">
      <c r="A36" s="28"/>
      <c r="B36" s="28"/>
      <c r="C36" s="28"/>
      <c r="D36" s="28"/>
      <c r="E36" s="28"/>
      <c r="F36" s="28"/>
    </row>
    <row r="37" spans="1:6" ht="15">
      <c r="A37" s="28"/>
      <c r="B37" s="28"/>
      <c r="C37" s="28"/>
      <c r="D37" s="28"/>
      <c r="E37" s="28"/>
      <c r="F37" s="28"/>
    </row>
    <row r="38" spans="1:6" ht="15">
      <c r="A38" s="28"/>
      <c r="B38" s="28"/>
      <c r="C38" s="28"/>
      <c r="D38" s="28"/>
      <c r="E38" s="28"/>
      <c r="F38" s="28"/>
    </row>
    <row r="39" spans="1:6" ht="15">
      <c r="A39" s="28"/>
      <c r="B39" s="28"/>
      <c r="C39" s="28"/>
      <c r="D39" s="28"/>
      <c r="E39" s="28"/>
      <c r="F39" s="28"/>
    </row>
    <row r="40" spans="1:6" ht="15">
      <c r="A40" s="28"/>
      <c r="B40" s="28"/>
      <c r="C40" s="28"/>
      <c r="D40" s="28"/>
      <c r="E40" s="28"/>
      <c r="F40" s="28"/>
    </row>
    <row r="41" spans="1:6" ht="15">
      <c r="A41" s="28"/>
      <c r="B41" s="28"/>
      <c r="C41" s="28"/>
      <c r="D41" s="28"/>
      <c r="E41" s="28"/>
      <c r="F41" s="28"/>
    </row>
    <row r="42" spans="1:6" ht="15">
      <c r="A42" s="28"/>
      <c r="B42" s="28"/>
      <c r="C42" s="28"/>
      <c r="D42" s="28"/>
      <c r="E42" s="28"/>
      <c r="F42" s="28"/>
    </row>
    <row r="43" spans="1:6" ht="15">
      <c r="A43" s="28"/>
      <c r="B43" s="28"/>
      <c r="C43" s="28"/>
      <c r="D43" s="28"/>
      <c r="E43" s="28"/>
      <c r="F43" s="28"/>
    </row>
    <row r="44" spans="1:6" ht="15">
      <c r="A44" s="28"/>
      <c r="B44" s="28"/>
      <c r="C44" s="28"/>
      <c r="D44" s="28"/>
      <c r="E44" s="28"/>
      <c r="F44" s="28"/>
    </row>
    <row r="45" spans="1:6" ht="15">
      <c r="A45" s="28"/>
      <c r="B45" s="28"/>
      <c r="C45" s="28"/>
      <c r="D45" s="28"/>
      <c r="E45" s="28"/>
      <c r="F45" s="28"/>
    </row>
  </sheetData>
  <mergeCells count="4">
    <mergeCell ref="B10:F10"/>
    <mergeCell ref="A5:F5"/>
    <mergeCell ref="A6:F6"/>
    <mergeCell ref="A7:F7"/>
  </mergeCells>
  <printOptions horizontalCentered="1"/>
  <pageMargins left="0.75" right="0.75" top="1" bottom="1" header="0" footer="0"/>
  <pageSetup horizontalDpi="300" verticalDpi="300" orientation="portrait" scale="90" r:id="rId2"/>
  <headerFooter alignWithMargins="0">
    <oddFooter>&amp;C50</oddFooter>
  </headerFooter>
  <drawing r:id="rId1"/>
</worksheet>
</file>

<file path=xl/worksheets/sheet37.xml><?xml version="1.0" encoding="utf-8"?>
<worksheet xmlns="http://schemas.openxmlformats.org/spreadsheetml/2006/main" xmlns:r="http://schemas.openxmlformats.org/officeDocument/2006/relationships">
  <dimension ref="A1:K29"/>
  <sheetViews>
    <sheetView workbookViewId="0" topLeftCell="A1">
      <selection activeCell="A5" sqref="A5:F5"/>
    </sheetView>
  </sheetViews>
  <sheetFormatPr defaultColWidth="11.421875" defaultRowHeight="12.75"/>
  <cols>
    <col min="1" max="1" width="34.8515625" style="0" customWidth="1"/>
    <col min="2" max="2" width="17.8515625" style="0" customWidth="1"/>
    <col min="3" max="3" width="13.7109375" style="0" customWidth="1"/>
    <col min="4" max="4" width="17.8515625" style="0" customWidth="1"/>
    <col min="5" max="5" width="13.7109375" style="0" customWidth="1"/>
    <col min="6" max="6" width="8.7109375" style="0" customWidth="1"/>
  </cols>
  <sheetData>
    <row r="1" spans="1:6" ht="14.25">
      <c r="A1" s="1" t="s">
        <v>658</v>
      </c>
      <c r="B1" s="2"/>
      <c r="C1" s="2"/>
      <c r="D1" s="2"/>
      <c r="E1" s="2"/>
      <c r="F1" s="2"/>
    </row>
    <row r="2" spans="1:6" ht="14.25">
      <c r="A2" s="1" t="s">
        <v>659</v>
      </c>
      <c r="B2" s="2"/>
      <c r="C2" s="2"/>
      <c r="D2" s="2"/>
      <c r="E2" s="2"/>
      <c r="F2" s="2"/>
    </row>
    <row r="3" spans="1:6" ht="14.25">
      <c r="A3" s="1"/>
      <c r="B3" s="2"/>
      <c r="C3" s="2"/>
      <c r="D3" s="2"/>
      <c r="E3" s="2"/>
      <c r="F3" s="2"/>
    </row>
    <row r="4" spans="1:6" ht="13.5" thickBot="1">
      <c r="A4" s="4"/>
      <c r="B4" s="4"/>
      <c r="C4" s="4"/>
      <c r="D4" s="4"/>
      <c r="E4" s="4"/>
      <c r="F4" s="4"/>
    </row>
    <row r="5" spans="1:6" ht="18.75" thickBot="1">
      <c r="A5" s="579" t="s">
        <v>796</v>
      </c>
      <c r="B5" s="580"/>
      <c r="C5" s="580"/>
      <c r="D5" s="580"/>
      <c r="E5" s="580"/>
      <c r="F5" s="581"/>
    </row>
    <row r="6" spans="1:6" ht="15.75">
      <c r="A6" s="525" t="s">
        <v>1161</v>
      </c>
      <c r="B6" s="525"/>
      <c r="C6" s="525"/>
      <c r="D6" s="525"/>
      <c r="E6" s="525"/>
      <c r="F6" s="525"/>
    </row>
    <row r="7" spans="1:6" ht="15.75">
      <c r="A7" s="526" t="s">
        <v>1162</v>
      </c>
      <c r="B7" s="526"/>
      <c r="C7" s="526"/>
      <c r="D7" s="526"/>
      <c r="E7" s="526"/>
      <c r="F7" s="526"/>
    </row>
    <row r="10" spans="1:11" ht="14.25">
      <c r="A10" s="7"/>
      <c r="B10" s="144" t="s">
        <v>735</v>
      </c>
      <c r="C10" s="7" t="s">
        <v>712</v>
      </c>
      <c r="D10" s="7" t="s">
        <v>735</v>
      </c>
      <c r="E10" s="7" t="s">
        <v>712</v>
      </c>
      <c r="F10" s="7" t="s">
        <v>713</v>
      </c>
      <c r="H10" s="25" t="s">
        <v>1053</v>
      </c>
      <c r="I10" s="25" t="s">
        <v>1053</v>
      </c>
      <c r="J10" s="25" t="s">
        <v>1053</v>
      </c>
      <c r="K10" s="25" t="s">
        <v>1053</v>
      </c>
    </row>
    <row r="11" spans="1:11" ht="15">
      <c r="A11" s="23"/>
      <c r="B11" s="54" t="s">
        <v>736</v>
      </c>
      <c r="C11" s="24" t="s">
        <v>715</v>
      </c>
      <c r="D11" s="23" t="s">
        <v>736</v>
      </c>
      <c r="E11" s="24" t="s">
        <v>715</v>
      </c>
      <c r="F11" s="159" t="s">
        <v>932</v>
      </c>
      <c r="H11" s="25" t="s">
        <v>934</v>
      </c>
      <c r="I11" s="25" t="s">
        <v>741</v>
      </c>
      <c r="J11" s="25" t="s">
        <v>934</v>
      </c>
      <c r="K11" s="25" t="s">
        <v>741</v>
      </c>
    </row>
    <row r="12" spans="1:11" ht="15">
      <c r="A12" s="23"/>
      <c r="B12" s="122" t="s">
        <v>1030</v>
      </c>
      <c r="C12" s="9" t="s">
        <v>716</v>
      </c>
      <c r="D12" s="25" t="s">
        <v>921</v>
      </c>
      <c r="E12" s="9" t="s">
        <v>716</v>
      </c>
      <c r="F12" s="26"/>
      <c r="H12" s="25" t="s">
        <v>1030</v>
      </c>
      <c r="I12">
        <v>247.36</v>
      </c>
      <c r="J12" s="25" t="s">
        <v>921</v>
      </c>
      <c r="K12">
        <v>279.03</v>
      </c>
    </row>
    <row r="13" spans="1:11" ht="15">
      <c r="A13" s="196" t="s">
        <v>768</v>
      </c>
      <c r="B13" s="204">
        <f>+I13*1000</f>
        <v>1442836.3518758086</v>
      </c>
      <c r="C13" s="205">
        <v>1</v>
      </c>
      <c r="D13" s="204">
        <v>1154285.2483079182</v>
      </c>
      <c r="E13" s="205">
        <v>1</v>
      </c>
      <c r="F13" s="206">
        <f>(B13-D13)/D13</f>
        <v>0.2499824926211967</v>
      </c>
      <c r="H13" s="123">
        <v>356900</v>
      </c>
      <c r="I13" s="123">
        <f>+H13/I12</f>
        <v>1442.8363518758085</v>
      </c>
      <c r="J13" s="123"/>
      <c r="K13" s="123"/>
    </row>
    <row r="14" spans="1:6" ht="15">
      <c r="A14" s="199" t="s">
        <v>770</v>
      </c>
      <c r="B14" s="207"/>
      <c r="C14" s="208"/>
      <c r="D14" s="207"/>
      <c r="E14" s="208"/>
      <c r="F14" s="209"/>
    </row>
    <row r="15" spans="1:11" ht="15">
      <c r="A15" s="202" t="s">
        <v>769</v>
      </c>
      <c r="B15" s="204">
        <f>+I15*1000</f>
        <v>1292043.9844760671</v>
      </c>
      <c r="C15" s="205">
        <v>1</v>
      </c>
      <c r="D15" s="204">
        <v>1188550.9255483975</v>
      </c>
      <c r="E15" s="205">
        <v>1</v>
      </c>
      <c r="F15" s="206">
        <f>(B15-D15)/D15</f>
        <v>0.0870749891342838</v>
      </c>
      <c r="H15" s="123">
        <v>319600</v>
      </c>
      <c r="I15" s="123">
        <f>+H15/I12</f>
        <v>1292.0439844760672</v>
      </c>
      <c r="J15" s="123"/>
      <c r="K15" s="123"/>
    </row>
    <row r="16" spans="1:6" ht="15">
      <c r="A16" s="199" t="s">
        <v>771</v>
      </c>
      <c r="B16" s="210"/>
      <c r="C16" s="211"/>
      <c r="D16" s="210"/>
      <c r="E16" s="211"/>
      <c r="F16" s="212"/>
    </row>
    <row r="17" spans="1:6" ht="14.25">
      <c r="A17" s="2"/>
      <c r="B17" s="152"/>
      <c r="C17" s="59"/>
      <c r="D17" s="152"/>
      <c r="E17" s="59"/>
      <c r="F17" s="59"/>
    </row>
    <row r="18" ht="12.75">
      <c r="A18" s="148" t="s">
        <v>931</v>
      </c>
    </row>
    <row r="19" ht="12.75">
      <c r="A19" s="157" t="s">
        <v>930</v>
      </c>
    </row>
    <row r="20" ht="12.75">
      <c r="A20" s="157"/>
    </row>
    <row r="21" ht="12.75">
      <c r="A21" s="66" t="s">
        <v>1054</v>
      </c>
    </row>
    <row r="22" ht="12.75">
      <c r="A22" s="66" t="s">
        <v>975</v>
      </c>
    </row>
    <row r="24" ht="12.75">
      <c r="A24" t="s">
        <v>856</v>
      </c>
    </row>
    <row r="25" ht="12.75">
      <c r="B25" s="36"/>
    </row>
    <row r="26" spans="1:2" ht="12.75">
      <c r="A26">
        <v>1999</v>
      </c>
      <c r="B26" s="36">
        <v>294.063</v>
      </c>
    </row>
    <row r="27" spans="1:2" ht="12.75">
      <c r="A27">
        <v>2000</v>
      </c>
      <c r="B27" s="36">
        <v>616.872</v>
      </c>
    </row>
    <row r="28" spans="1:2" ht="12.75">
      <c r="A28" s="130">
        <v>2001</v>
      </c>
      <c r="B28" s="36">
        <v>1154.28524830792</v>
      </c>
    </row>
    <row r="29" spans="1:2" ht="12.75">
      <c r="A29">
        <v>2002</v>
      </c>
      <c r="B29" s="36">
        <f>+B13/1000</f>
        <v>1442.8363518758085</v>
      </c>
    </row>
  </sheetData>
  <mergeCells count="3">
    <mergeCell ref="A5:F5"/>
    <mergeCell ref="A6:F6"/>
    <mergeCell ref="A7:F7"/>
  </mergeCells>
  <printOptions horizontalCentered="1"/>
  <pageMargins left="0.75" right="0.75" top="1" bottom="1" header="0" footer="0"/>
  <pageSetup horizontalDpi="300" verticalDpi="300" orientation="portrait" scale="90" r:id="rId2"/>
  <headerFooter alignWithMargins="0">
    <oddFooter>&amp;C51</oddFooter>
  </headerFooter>
  <drawing r:id="rId1"/>
</worksheet>
</file>

<file path=xl/worksheets/sheet38.xml><?xml version="1.0" encoding="utf-8"?>
<worksheet xmlns="http://schemas.openxmlformats.org/spreadsheetml/2006/main" xmlns:r="http://schemas.openxmlformats.org/officeDocument/2006/relationships">
  <dimension ref="A1:F39"/>
  <sheetViews>
    <sheetView workbookViewId="0" topLeftCell="A16">
      <selection activeCell="D13" sqref="D13:D28"/>
    </sheetView>
  </sheetViews>
  <sheetFormatPr defaultColWidth="11.421875" defaultRowHeight="12.75"/>
  <cols>
    <col min="1" max="1" width="21.8515625" style="0" customWidth="1"/>
    <col min="2" max="2" width="18.8515625" style="0" customWidth="1"/>
    <col min="3" max="3" width="15.28125" style="0" customWidth="1"/>
    <col min="4" max="4" width="18.8515625" style="0" customWidth="1"/>
    <col min="5" max="6" width="15.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976</v>
      </c>
      <c r="B5" s="523"/>
      <c r="C5" s="523"/>
      <c r="D5" s="523"/>
      <c r="E5" s="523"/>
      <c r="F5" s="524"/>
    </row>
    <row r="6" spans="1:6" ht="18.75" thickBot="1">
      <c r="A6" s="516" t="s">
        <v>905</v>
      </c>
      <c r="B6" s="517"/>
      <c r="C6" s="517"/>
      <c r="D6" s="517"/>
      <c r="E6" s="517"/>
      <c r="F6" s="518"/>
    </row>
    <row r="7" spans="1:6" ht="15.75">
      <c r="A7" s="525" t="s">
        <v>880</v>
      </c>
      <c r="B7" s="525"/>
      <c r="C7" s="525"/>
      <c r="D7" s="525"/>
      <c r="E7" s="525"/>
      <c r="F7" s="525"/>
    </row>
    <row r="8" spans="1:6" ht="15.75">
      <c r="A8" s="526" t="s">
        <v>881</v>
      </c>
      <c r="B8" s="526"/>
      <c r="C8" s="526"/>
      <c r="D8" s="526"/>
      <c r="E8" s="526"/>
      <c r="F8" s="526"/>
    </row>
    <row r="9" spans="1:6" ht="15.75">
      <c r="A9" s="6"/>
      <c r="B9" s="5"/>
      <c r="C9" s="5"/>
      <c r="D9" s="5"/>
      <c r="E9" s="5"/>
      <c r="F9" s="5"/>
    </row>
    <row r="10" spans="1:6" ht="15">
      <c r="A10" s="2"/>
      <c r="B10" s="5"/>
      <c r="C10" s="5"/>
      <c r="D10" s="5"/>
      <c r="E10" s="5"/>
      <c r="F10" s="5"/>
    </row>
    <row r="11" spans="1:6" ht="15">
      <c r="A11" s="7" t="s">
        <v>661</v>
      </c>
      <c r="B11" s="527" t="s">
        <v>662</v>
      </c>
      <c r="C11" s="527"/>
      <c r="D11" s="527"/>
      <c r="E11" s="527"/>
      <c r="F11" s="527"/>
    </row>
    <row r="12" spans="1:6" ht="15">
      <c r="A12" s="9" t="s">
        <v>664</v>
      </c>
      <c r="B12" s="170" t="s">
        <v>882</v>
      </c>
      <c r="C12" s="8" t="s">
        <v>665</v>
      </c>
      <c r="D12" s="173" t="s">
        <v>921</v>
      </c>
      <c r="E12" s="8" t="s">
        <v>665</v>
      </c>
      <c r="F12" s="8" t="s">
        <v>883</v>
      </c>
    </row>
    <row r="13" spans="1:6" ht="29.25" customHeight="1">
      <c r="A13" s="162" t="s">
        <v>848</v>
      </c>
      <c r="B13" s="119">
        <v>111512</v>
      </c>
      <c r="C13" s="46">
        <f aca="true" t="shared" si="0" ref="C13:C28">+B13/$B$29</f>
        <v>0.02244171367012138</v>
      </c>
      <c r="D13" s="11">
        <v>93984</v>
      </c>
      <c r="E13" s="46">
        <f>+D13/$D$29</f>
        <v>0.02029802136190514</v>
      </c>
      <c r="F13" s="46">
        <f>+(B13-D13)/D13</f>
        <v>0.1864998297582567</v>
      </c>
    </row>
    <row r="14" spans="1:6" ht="15">
      <c r="A14" s="5" t="s">
        <v>920</v>
      </c>
      <c r="B14" s="119">
        <v>2265</v>
      </c>
      <c r="C14" s="46">
        <f t="shared" si="0"/>
        <v>0.0004558296996092342</v>
      </c>
      <c r="D14" s="164" t="s">
        <v>799</v>
      </c>
      <c r="E14" s="164" t="s">
        <v>799</v>
      </c>
      <c r="F14" s="164" t="s">
        <v>799</v>
      </c>
    </row>
    <row r="15" spans="1:6" ht="15">
      <c r="A15" s="5" t="s">
        <v>747</v>
      </c>
      <c r="B15" s="119">
        <v>88399</v>
      </c>
      <c r="C15" s="46">
        <f t="shared" si="0"/>
        <v>0.01779023824095218</v>
      </c>
      <c r="D15" s="11">
        <v>83625</v>
      </c>
      <c r="E15" s="46">
        <f aca="true" t="shared" si="1" ref="E15:E28">+D15/$D$29</f>
        <v>0.01806075540931773</v>
      </c>
      <c r="F15" s="46">
        <f aca="true" t="shared" si="2" ref="F15:F29">+(B15-D15)/D15</f>
        <v>0.0570881913303438</v>
      </c>
    </row>
    <row r="16" spans="1:6" ht="15">
      <c r="A16" s="5" t="s">
        <v>745</v>
      </c>
      <c r="B16" s="119">
        <v>73859</v>
      </c>
      <c r="C16" s="46">
        <f t="shared" si="0"/>
        <v>0.01486407319357105</v>
      </c>
      <c r="D16" s="11">
        <v>64083</v>
      </c>
      <c r="E16" s="46">
        <f t="shared" si="1"/>
        <v>0.013840207938957346</v>
      </c>
      <c r="F16" s="46">
        <f t="shared" si="2"/>
        <v>0.15255215891890206</v>
      </c>
    </row>
    <row r="17" spans="1:6" ht="15">
      <c r="A17" s="5" t="s">
        <v>750</v>
      </c>
      <c r="B17" s="119">
        <v>53715</v>
      </c>
      <c r="C17" s="46">
        <f t="shared" si="0"/>
        <v>0.010810106982123627</v>
      </c>
      <c r="D17" s="11">
        <v>45461</v>
      </c>
      <c r="E17" s="46">
        <f t="shared" si="1"/>
        <v>0.009818355774744315</v>
      </c>
      <c r="F17" s="46">
        <f t="shared" si="2"/>
        <v>0.18156221816502058</v>
      </c>
    </row>
    <row r="18" spans="1:6" ht="15">
      <c r="A18" s="114" t="s">
        <v>822</v>
      </c>
      <c r="B18" s="119">
        <v>27341</v>
      </c>
      <c r="C18" s="46">
        <f t="shared" si="0"/>
        <v>0.005502357535106433</v>
      </c>
      <c r="D18" s="11">
        <v>26151</v>
      </c>
      <c r="E18" s="46">
        <f t="shared" si="1"/>
        <v>0.005647914077238481</v>
      </c>
      <c r="F18" s="46">
        <f t="shared" si="2"/>
        <v>0.04550495200948339</v>
      </c>
    </row>
    <row r="19" spans="1:6" ht="15">
      <c r="A19" s="5" t="s">
        <v>748</v>
      </c>
      <c r="B19" s="119">
        <v>204371</v>
      </c>
      <c r="C19" s="46">
        <f t="shared" si="0"/>
        <v>0.04112952385820698</v>
      </c>
      <c r="D19" s="11">
        <v>194854</v>
      </c>
      <c r="E19" s="46">
        <f t="shared" si="1"/>
        <v>0.04208323389569144</v>
      </c>
      <c r="F19" s="46">
        <f t="shared" si="2"/>
        <v>0.048841696860213286</v>
      </c>
    </row>
    <row r="20" spans="1:6" ht="15">
      <c r="A20" s="5" t="s">
        <v>743</v>
      </c>
      <c r="B20" s="119">
        <v>123501</v>
      </c>
      <c r="C20" s="46">
        <f t="shared" si="0"/>
        <v>0.024854491713660058</v>
      </c>
      <c r="D20" s="11">
        <v>107244</v>
      </c>
      <c r="E20" s="46">
        <f t="shared" si="1"/>
        <v>0.02316182544833328</v>
      </c>
      <c r="F20" s="46">
        <f t="shared" si="2"/>
        <v>0.15158890007832607</v>
      </c>
    </row>
    <row r="21" spans="1:6" ht="15">
      <c r="A21" s="5" t="s">
        <v>746</v>
      </c>
      <c r="B21" s="119">
        <v>837517</v>
      </c>
      <c r="C21" s="46">
        <f t="shared" si="0"/>
        <v>0.16854972297025475</v>
      </c>
      <c r="D21" s="11">
        <v>776093</v>
      </c>
      <c r="E21" s="46">
        <f t="shared" si="1"/>
        <v>0.1676152567758879</v>
      </c>
      <c r="F21" s="46">
        <f t="shared" si="2"/>
        <v>0.07914515399571959</v>
      </c>
    </row>
    <row r="22" spans="1:6" ht="15">
      <c r="A22" s="5" t="s">
        <v>845</v>
      </c>
      <c r="B22" s="119">
        <v>105734</v>
      </c>
      <c r="C22" s="46">
        <f t="shared" si="0"/>
        <v>0.021278895125157956</v>
      </c>
      <c r="D22" s="11">
        <v>90106</v>
      </c>
      <c r="E22" s="46">
        <f t="shared" si="1"/>
        <v>0.019460477451862284</v>
      </c>
      <c r="F22" s="46">
        <f t="shared" si="2"/>
        <v>0.17344017046589572</v>
      </c>
    </row>
    <row r="23" spans="1:6" ht="15">
      <c r="A23" s="5" t="s">
        <v>846</v>
      </c>
      <c r="B23" s="119">
        <v>11571</v>
      </c>
      <c r="C23" s="46">
        <f t="shared" si="0"/>
        <v>0.0023286558296593592</v>
      </c>
      <c r="D23" s="11">
        <v>3333</v>
      </c>
      <c r="E23" s="46">
        <f t="shared" si="1"/>
        <v>0.0007198385384664394</v>
      </c>
      <c r="F23" s="46">
        <f t="shared" si="2"/>
        <v>2.4716471647164715</v>
      </c>
    </row>
    <row r="24" spans="1:6" ht="15">
      <c r="A24" s="5" t="s">
        <v>847</v>
      </c>
      <c r="B24" s="119">
        <v>1033</v>
      </c>
      <c r="C24" s="46">
        <f t="shared" si="0"/>
        <v>0.00020789054291229093</v>
      </c>
      <c r="D24" s="11">
        <v>1043</v>
      </c>
      <c r="E24" s="46">
        <f t="shared" si="1"/>
        <v>0.00022526000468661754</v>
      </c>
      <c r="F24" s="46">
        <f t="shared" si="2"/>
        <v>-0.009587727708533078</v>
      </c>
    </row>
    <row r="25" spans="1:6" ht="15">
      <c r="A25" s="5" t="s">
        <v>749</v>
      </c>
      <c r="B25" s="119">
        <v>116462</v>
      </c>
      <c r="C25" s="46">
        <f t="shared" si="0"/>
        <v>0.02343789778185017</v>
      </c>
      <c r="D25" s="11">
        <v>107350</v>
      </c>
      <c r="E25" s="46">
        <f t="shared" si="1"/>
        <v>0.023184718603172</v>
      </c>
      <c r="F25" s="46">
        <f t="shared" si="2"/>
        <v>0.08488122962272938</v>
      </c>
    </row>
    <row r="26" spans="1:6" ht="15">
      <c r="A26" s="5" t="s">
        <v>744</v>
      </c>
      <c r="B26" s="124">
        <v>2231047</v>
      </c>
      <c r="C26" s="46">
        <f t="shared" si="0"/>
        <v>0.4489966816000367</v>
      </c>
      <c r="D26" s="11">
        <v>2143104</v>
      </c>
      <c r="E26" s="46">
        <f t="shared" si="1"/>
        <v>0.4628529406365377</v>
      </c>
      <c r="F26" s="46">
        <f t="shared" si="2"/>
        <v>0.0410353393955683</v>
      </c>
    </row>
    <row r="27" spans="1:6" ht="15">
      <c r="A27" s="114" t="s">
        <v>919</v>
      </c>
      <c r="B27" s="119">
        <v>761274</v>
      </c>
      <c r="C27" s="46">
        <f t="shared" si="0"/>
        <v>0.15320587140852987</v>
      </c>
      <c r="D27" s="11">
        <v>715177</v>
      </c>
      <c r="E27" s="46">
        <f t="shared" si="1"/>
        <v>0.1544590358310269</v>
      </c>
      <c r="F27" s="46">
        <f t="shared" si="2"/>
        <v>0.06445537258608708</v>
      </c>
    </row>
    <row r="28" spans="1:6" ht="15">
      <c r="A28" s="5" t="s">
        <v>742</v>
      </c>
      <c r="B28" s="119">
        <v>219360</v>
      </c>
      <c r="C28" s="46">
        <f t="shared" si="0"/>
        <v>0.04414604984824795</v>
      </c>
      <c r="D28" s="11">
        <v>178597</v>
      </c>
      <c r="E28" s="46">
        <f t="shared" si="1"/>
        <v>0.03857215825217242</v>
      </c>
      <c r="F28" s="46">
        <f t="shared" si="2"/>
        <v>0.2282401160153866</v>
      </c>
    </row>
    <row r="29" spans="1:6" ht="14.25">
      <c r="A29" s="13" t="s">
        <v>674</v>
      </c>
      <c r="B29" s="121">
        <f>SUM(B13:B28)</f>
        <v>4968961</v>
      </c>
      <c r="C29" s="15">
        <f>SUM(C13:C28)</f>
        <v>1</v>
      </c>
      <c r="D29" s="121">
        <f>SUM(D13:D28)</f>
        <v>4630205</v>
      </c>
      <c r="E29" s="15">
        <f>SUM(E13:E28)</f>
        <v>1</v>
      </c>
      <c r="F29" s="15">
        <f t="shared" si="2"/>
        <v>0.07316220340136127</v>
      </c>
    </row>
    <row r="30" ht="6" customHeight="1"/>
    <row r="31" spans="1:6" ht="12.75">
      <c r="A31" s="560" t="s">
        <v>625</v>
      </c>
      <c r="B31" s="560"/>
      <c r="C31" s="560"/>
      <c r="D31" s="560"/>
      <c r="E31" s="560"/>
      <c r="F31" s="560"/>
    </row>
    <row r="32" ht="12.75">
      <c r="A32" s="70" t="s">
        <v>626</v>
      </c>
    </row>
    <row r="33" ht="9.75" customHeight="1">
      <c r="A33" s="75"/>
    </row>
    <row r="34" spans="1:2" ht="12.75">
      <c r="A34" s="49"/>
      <c r="B34" t="s">
        <v>737</v>
      </c>
    </row>
    <row r="35" spans="1:2" ht="12.75">
      <c r="A35">
        <v>1998</v>
      </c>
      <c r="B35" s="36">
        <v>3752</v>
      </c>
    </row>
    <row r="36" spans="1:2" ht="12.75">
      <c r="A36">
        <v>1999</v>
      </c>
      <c r="B36" s="36">
        <v>2995</v>
      </c>
    </row>
    <row r="37" spans="1:2" ht="12.75">
      <c r="A37" s="80">
        <v>2000</v>
      </c>
      <c r="B37" s="36">
        <v>3716</v>
      </c>
    </row>
    <row r="38" spans="1:2" ht="12.75">
      <c r="A38">
        <v>2001</v>
      </c>
      <c r="B38" s="36">
        <v>4630</v>
      </c>
    </row>
    <row r="39" spans="1:2" ht="12.75">
      <c r="A39" s="80" t="s">
        <v>901</v>
      </c>
      <c r="B39" s="36">
        <f>+B29/1000</f>
        <v>4968.961</v>
      </c>
    </row>
  </sheetData>
  <mergeCells count="6">
    <mergeCell ref="A31:F31"/>
    <mergeCell ref="B11:F11"/>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&amp;C52</oddFooter>
  </headerFooter>
  <drawing r:id="rId1"/>
</worksheet>
</file>

<file path=xl/worksheets/sheet39.xml><?xml version="1.0" encoding="utf-8"?>
<worksheet xmlns="http://schemas.openxmlformats.org/spreadsheetml/2006/main" xmlns:r="http://schemas.openxmlformats.org/officeDocument/2006/relationships">
  <dimension ref="A1:F45"/>
  <sheetViews>
    <sheetView workbookViewId="0" topLeftCell="A2">
      <selection activeCell="D10" sqref="D10"/>
    </sheetView>
  </sheetViews>
  <sheetFormatPr defaultColWidth="11.421875" defaultRowHeight="12.75"/>
  <cols>
    <col min="1" max="1" width="21.8515625" style="0" customWidth="1"/>
    <col min="2" max="2" width="18.8515625" style="0" customWidth="1"/>
    <col min="3" max="3" width="15.28125" style="0" customWidth="1"/>
    <col min="4" max="4" width="18.8515625" style="0"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976</v>
      </c>
      <c r="B5" s="523"/>
      <c r="C5" s="523"/>
      <c r="D5" s="523"/>
      <c r="E5" s="523"/>
      <c r="F5" s="524"/>
    </row>
    <row r="6" spans="1:6" ht="18.75" thickBot="1">
      <c r="A6" s="516" t="s">
        <v>905</v>
      </c>
      <c r="B6" s="517"/>
      <c r="C6" s="517"/>
      <c r="D6" s="517"/>
      <c r="E6" s="517"/>
      <c r="F6" s="518"/>
    </row>
    <row r="7" spans="1:6" ht="15.75">
      <c r="A7" s="525" t="s">
        <v>878</v>
      </c>
      <c r="B7" s="525"/>
      <c r="C7" s="525"/>
      <c r="D7" s="525"/>
      <c r="E7" s="525"/>
      <c r="F7" s="525"/>
    </row>
    <row r="8" spans="1:6" ht="15.75">
      <c r="A8" s="526" t="s">
        <v>879</v>
      </c>
      <c r="B8" s="526"/>
      <c r="C8" s="526"/>
      <c r="D8" s="526"/>
      <c r="E8" s="526"/>
      <c r="F8" s="526"/>
    </row>
    <row r="9" spans="1:6" ht="15">
      <c r="A9" s="22"/>
      <c r="B9" s="2"/>
      <c r="C9" s="2"/>
      <c r="D9" s="2"/>
      <c r="E9" s="5"/>
      <c r="F9" s="5"/>
    </row>
    <row r="10" spans="1:6" ht="15">
      <c r="A10" s="22"/>
      <c r="B10" s="2"/>
      <c r="C10" s="2"/>
      <c r="D10" s="2"/>
      <c r="E10" s="5"/>
      <c r="F10" s="5"/>
    </row>
    <row r="11" spans="1:6" ht="14.25">
      <c r="A11" s="7" t="s">
        <v>661</v>
      </c>
      <c r="B11" s="7" t="s">
        <v>735</v>
      </c>
      <c r="C11" s="7" t="s">
        <v>712</v>
      </c>
      <c r="D11" s="188" t="s">
        <v>735</v>
      </c>
      <c r="E11" s="7" t="s">
        <v>712</v>
      </c>
      <c r="F11" s="7" t="s">
        <v>713</v>
      </c>
    </row>
    <row r="12" spans="1:6" ht="15">
      <c r="A12" s="23" t="s">
        <v>714</v>
      </c>
      <c r="B12" s="23" t="s">
        <v>736</v>
      </c>
      <c r="C12" s="24" t="s">
        <v>715</v>
      </c>
      <c r="D12" s="189" t="s">
        <v>736</v>
      </c>
      <c r="E12" s="24" t="s">
        <v>715</v>
      </c>
      <c r="F12" s="159" t="s">
        <v>884</v>
      </c>
    </row>
    <row r="13" spans="1:6" ht="15">
      <c r="A13" s="9"/>
      <c r="B13" s="122" t="s">
        <v>882</v>
      </c>
      <c r="C13" s="9" t="s">
        <v>716</v>
      </c>
      <c r="D13" s="26" t="s">
        <v>921</v>
      </c>
      <c r="E13" s="9" t="s">
        <v>716</v>
      </c>
      <c r="F13" s="26"/>
    </row>
    <row r="14" spans="1:6" ht="30">
      <c r="A14" s="162" t="s">
        <v>848</v>
      </c>
      <c r="B14" s="11">
        <v>99200</v>
      </c>
      <c r="C14" s="46">
        <f aca="true" t="shared" si="0" ref="C14:C29">+B14/$B$30</f>
        <v>0.0692940666955392</v>
      </c>
      <c r="D14" s="11">
        <v>79947.19</v>
      </c>
      <c r="E14" s="46">
        <f>+D14/$D$30</f>
        <v>0.06641224717777695</v>
      </c>
      <c r="F14" s="46">
        <f>+(B14-D14)/D14</f>
        <v>0.2408190957055526</v>
      </c>
    </row>
    <row r="15" spans="1:6" ht="15">
      <c r="A15" s="5" t="s">
        <v>920</v>
      </c>
      <c r="B15" s="11">
        <v>1140</v>
      </c>
      <c r="C15" s="46">
        <f t="shared" si="0"/>
        <v>0.0007963229438801883</v>
      </c>
      <c r="D15" s="164" t="s">
        <v>799</v>
      </c>
      <c r="E15" s="164" t="s">
        <v>799</v>
      </c>
      <c r="F15" s="164" t="s">
        <v>799</v>
      </c>
    </row>
    <row r="16" spans="1:6" ht="15">
      <c r="A16" s="5" t="s">
        <v>747</v>
      </c>
      <c r="B16" s="11">
        <v>49520</v>
      </c>
      <c r="C16" s="46">
        <f t="shared" si="0"/>
        <v>0.03459115103591836</v>
      </c>
      <c r="D16" s="11">
        <v>42712.87</v>
      </c>
      <c r="E16" s="46">
        <f aca="true" t="shared" si="1" ref="E16:E29">+D16/$D$30</f>
        <v>0.03548164332120058</v>
      </c>
      <c r="F16" s="46">
        <f aca="true" t="shared" si="2" ref="F16:F30">+(B16-D16)/D16</f>
        <v>0.15936952960547948</v>
      </c>
    </row>
    <row r="17" spans="1:6" ht="15">
      <c r="A17" s="5" t="s">
        <v>745</v>
      </c>
      <c r="B17" s="11">
        <v>37880</v>
      </c>
      <c r="C17" s="46">
        <f t="shared" si="0"/>
        <v>0.026460274661562748</v>
      </c>
      <c r="D17" s="11">
        <v>30943.89</v>
      </c>
      <c r="E17" s="46">
        <f t="shared" si="1"/>
        <v>0.02570513449343173</v>
      </c>
      <c r="F17" s="46">
        <f t="shared" si="2"/>
        <v>0.22415119753851248</v>
      </c>
    </row>
    <row r="18" spans="1:6" ht="15">
      <c r="A18" s="5" t="s">
        <v>750</v>
      </c>
      <c r="B18" s="11">
        <v>19530</v>
      </c>
      <c r="C18" s="46">
        <f t="shared" si="0"/>
        <v>0.01364226938068428</v>
      </c>
      <c r="D18" s="11">
        <v>15042.9</v>
      </c>
      <c r="E18" s="46">
        <f t="shared" si="1"/>
        <v>0.012496158940302728</v>
      </c>
      <c r="F18" s="46">
        <f t="shared" si="2"/>
        <v>0.2982868994675229</v>
      </c>
    </row>
    <row r="19" spans="1:6" ht="15">
      <c r="A19" s="114" t="s">
        <v>822</v>
      </c>
      <c r="B19" s="11">
        <v>4130</v>
      </c>
      <c r="C19" s="46">
        <f t="shared" si="0"/>
        <v>0.0028849243493203314</v>
      </c>
      <c r="D19" s="11">
        <v>3392.73</v>
      </c>
      <c r="E19" s="46">
        <f t="shared" si="1"/>
        <v>0.002818345752583164</v>
      </c>
      <c r="F19" s="46">
        <f t="shared" si="2"/>
        <v>0.2173087749393556</v>
      </c>
    </row>
    <row r="20" spans="1:6" ht="15">
      <c r="A20" s="5" t="s">
        <v>748</v>
      </c>
      <c r="B20" s="11">
        <v>55180</v>
      </c>
      <c r="C20" s="46">
        <f t="shared" si="0"/>
        <v>0.03854482459939368</v>
      </c>
      <c r="D20" s="11">
        <v>42924.09</v>
      </c>
      <c r="E20" s="46">
        <f t="shared" si="1"/>
        <v>0.03565710408284699</v>
      </c>
      <c r="F20" s="46">
        <f t="shared" si="2"/>
        <v>0.28552521439592554</v>
      </c>
    </row>
    <row r="21" spans="1:6" ht="15">
      <c r="A21" s="5" t="s">
        <v>743</v>
      </c>
      <c r="B21" s="11">
        <v>25530</v>
      </c>
      <c r="C21" s="46">
        <f t="shared" si="0"/>
        <v>0.017833442769527374</v>
      </c>
      <c r="D21" s="11">
        <v>19603.96</v>
      </c>
      <c r="E21" s="46">
        <f t="shared" si="1"/>
        <v>0.016285038125583302</v>
      </c>
      <c r="F21" s="46">
        <f t="shared" si="2"/>
        <v>0.30228790509672543</v>
      </c>
    </row>
    <row r="22" spans="1:6" ht="15">
      <c r="A22" s="5" t="s">
        <v>746</v>
      </c>
      <c r="B22" s="11">
        <v>311910</v>
      </c>
      <c r="C22" s="46">
        <f t="shared" si="0"/>
        <v>0.21787814861900837</v>
      </c>
      <c r="D22" s="11">
        <v>257537.95</v>
      </c>
      <c r="E22" s="46">
        <f t="shared" si="1"/>
        <v>0.21393715017448348</v>
      </c>
      <c r="F22" s="46">
        <f t="shared" si="2"/>
        <v>0.21112247728926936</v>
      </c>
    </row>
    <row r="23" spans="1:6" ht="15">
      <c r="A23" s="5" t="s">
        <v>845</v>
      </c>
      <c r="B23" s="11">
        <v>32910</v>
      </c>
      <c r="C23" s="46">
        <f t="shared" si="0"/>
        <v>0.022988586037804383</v>
      </c>
      <c r="D23" s="11">
        <v>26231.02</v>
      </c>
      <c r="E23" s="46">
        <f t="shared" si="1"/>
        <v>0.021790146520036673</v>
      </c>
      <c r="F23" s="46">
        <f t="shared" si="2"/>
        <v>0.2546214367569389</v>
      </c>
    </row>
    <row r="24" spans="1:6" ht="15">
      <c r="A24" s="5" t="s">
        <v>846</v>
      </c>
      <c r="B24" s="11">
        <v>6570</v>
      </c>
      <c r="C24" s="46">
        <f t="shared" si="0"/>
        <v>0.004589334860783191</v>
      </c>
      <c r="D24" s="11">
        <v>745.87</v>
      </c>
      <c r="E24" s="46">
        <f t="shared" si="1"/>
        <v>0.000619595295375466</v>
      </c>
      <c r="F24" s="46">
        <f t="shared" si="2"/>
        <v>7.808505503640045</v>
      </c>
    </row>
    <row r="25" spans="1:6" ht="15">
      <c r="A25" s="5" t="s">
        <v>847</v>
      </c>
      <c r="B25" s="11">
        <v>3280</v>
      </c>
      <c r="C25" s="46">
        <f t="shared" si="0"/>
        <v>0.0022911747859008925</v>
      </c>
      <c r="D25" s="11">
        <v>2765.67</v>
      </c>
      <c r="E25" s="46">
        <f t="shared" si="1"/>
        <v>0.002297446097256982</v>
      </c>
      <c r="F25" s="46">
        <f t="shared" si="2"/>
        <v>0.18596940343569549</v>
      </c>
    </row>
    <row r="26" spans="1:6" ht="15">
      <c r="A26" s="5" t="s">
        <v>749</v>
      </c>
      <c r="B26" s="11">
        <v>69710</v>
      </c>
      <c r="C26" s="46">
        <f t="shared" si="0"/>
        <v>0.048694449489375374</v>
      </c>
      <c r="D26" s="11">
        <v>59603.96</v>
      </c>
      <c r="E26" s="46">
        <f t="shared" si="1"/>
        <v>0.04951309638643122</v>
      </c>
      <c r="F26" s="46">
        <f t="shared" si="2"/>
        <v>0.1695531639172968</v>
      </c>
    </row>
    <row r="27" spans="1:6" ht="15">
      <c r="A27" s="5" t="s">
        <v>744</v>
      </c>
      <c r="B27" s="119">
        <v>432850</v>
      </c>
      <c r="C27" s="46">
        <f t="shared" si="0"/>
        <v>0.30235823356012237</v>
      </c>
      <c r="D27" s="11">
        <v>388673.26</v>
      </c>
      <c r="E27" s="46">
        <f t="shared" si="1"/>
        <v>0.3228714431928423</v>
      </c>
      <c r="F27" s="46">
        <f t="shared" si="2"/>
        <v>0.11366035317171032</v>
      </c>
    </row>
    <row r="28" spans="1:6" ht="15">
      <c r="A28" s="114" t="s">
        <v>919</v>
      </c>
      <c r="B28" s="119">
        <v>247110</v>
      </c>
      <c r="C28" s="46">
        <f t="shared" si="0"/>
        <v>0.17261347601950291</v>
      </c>
      <c r="D28" s="11">
        <v>207188.11</v>
      </c>
      <c r="E28" s="46">
        <f t="shared" si="1"/>
        <v>0.17211146475087416</v>
      </c>
      <c r="F28" s="46">
        <f t="shared" si="2"/>
        <v>0.19268427131267338</v>
      </c>
    </row>
    <row r="29" spans="1:6" ht="15">
      <c r="A29" s="5" t="s">
        <v>742</v>
      </c>
      <c r="B29" s="119">
        <v>35130</v>
      </c>
      <c r="C29" s="46">
        <f t="shared" si="0"/>
        <v>0.02453932019167633</v>
      </c>
      <c r="D29" s="11">
        <v>26488.44</v>
      </c>
      <c r="E29" s="46">
        <f t="shared" si="1"/>
        <v>0.02200398568897436</v>
      </c>
      <c r="F29" s="46">
        <f t="shared" si="2"/>
        <v>0.32623891780716424</v>
      </c>
    </row>
    <row r="30" spans="1:6" ht="14.25">
      <c r="A30" s="13" t="s">
        <v>674</v>
      </c>
      <c r="B30" s="121">
        <f>SUM(B14:B29)</f>
        <v>1431580</v>
      </c>
      <c r="C30" s="16">
        <f>SUM(C28:C29)</f>
        <v>0.19715279621117926</v>
      </c>
      <c r="D30" s="121">
        <f>SUM(D14:D29)</f>
        <v>1203801.91</v>
      </c>
      <c r="E30" s="16">
        <f>SUM(E28:E29)</f>
        <v>0.1941154504398485</v>
      </c>
      <c r="F30" s="16">
        <f t="shared" si="2"/>
        <v>0.1892155911266166</v>
      </c>
    </row>
    <row r="31" spans="1:6" ht="15">
      <c r="A31" s="47"/>
      <c r="B31" s="50"/>
      <c r="C31" s="51"/>
      <c r="D31" s="52"/>
      <c r="E31" s="52"/>
      <c r="F31" s="52"/>
    </row>
    <row r="32" spans="1:6" ht="12.75" customHeight="1">
      <c r="A32" s="560" t="s">
        <v>625</v>
      </c>
      <c r="B32" s="560"/>
      <c r="C32" s="560"/>
      <c r="D32" s="560"/>
      <c r="E32" s="560"/>
      <c r="F32" s="560"/>
    </row>
    <row r="33" spans="1:6" ht="12.75" customHeight="1">
      <c r="A33" s="560" t="s">
        <v>627</v>
      </c>
      <c r="B33" s="560"/>
      <c r="C33" s="560"/>
      <c r="D33" s="560"/>
      <c r="E33" s="560"/>
      <c r="F33" s="560"/>
    </row>
    <row r="40" ht="12.75">
      <c r="B40" t="s">
        <v>739</v>
      </c>
    </row>
    <row r="41" spans="1:2" ht="12.75">
      <c r="A41">
        <v>1998</v>
      </c>
      <c r="B41" s="36">
        <v>280.254</v>
      </c>
    </row>
    <row r="42" spans="1:2" ht="12.75">
      <c r="A42">
        <v>1999</v>
      </c>
      <c r="B42" s="36">
        <v>466.578</v>
      </c>
    </row>
    <row r="43" spans="1:2" ht="12.75">
      <c r="A43" s="80">
        <v>2000</v>
      </c>
      <c r="B43" s="36">
        <v>774.247</v>
      </c>
    </row>
    <row r="44" spans="1:2" ht="12.75">
      <c r="A44">
        <v>2001</v>
      </c>
      <c r="B44" s="36">
        <v>1203.802</v>
      </c>
    </row>
    <row r="45" spans="1:2" ht="12.75">
      <c r="A45" s="80" t="s">
        <v>901</v>
      </c>
      <c r="B45" s="36">
        <f>+B30/1000</f>
        <v>1431.58</v>
      </c>
    </row>
  </sheetData>
  <mergeCells count="6">
    <mergeCell ref="A33:F33"/>
    <mergeCell ref="A32:F32"/>
    <mergeCell ref="A6:F6"/>
    <mergeCell ref="A5:F5"/>
    <mergeCell ref="A7:F7"/>
    <mergeCell ref="A8:F8"/>
  </mergeCells>
  <printOptions horizontalCentered="1"/>
  <pageMargins left="0.75" right="0.75" top="1" bottom="1" header="0" footer="0"/>
  <pageSetup horizontalDpi="300" verticalDpi="300" orientation="portrait" scale="90" r:id="rId2"/>
  <headerFooter alignWithMargins="0">
    <oddFooter>&amp;C53</oddFooter>
  </headerFooter>
  <drawing r:id="rId1"/>
</worksheet>
</file>

<file path=xl/worksheets/sheet4.xml><?xml version="1.0" encoding="utf-8"?>
<worksheet xmlns="http://schemas.openxmlformats.org/spreadsheetml/2006/main" xmlns:r="http://schemas.openxmlformats.org/officeDocument/2006/relationships">
  <dimension ref="A1:I45"/>
  <sheetViews>
    <sheetView workbookViewId="0" topLeftCell="A1">
      <selection activeCell="A5" sqref="A5:I5"/>
    </sheetView>
  </sheetViews>
  <sheetFormatPr defaultColWidth="11.421875" defaultRowHeight="12.75"/>
  <cols>
    <col min="1" max="1" width="17.57421875" style="0" customWidth="1"/>
    <col min="3" max="3" width="9.8515625" style="0" customWidth="1"/>
    <col min="5" max="5" width="9.8515625" style="0" customWidth="1"/>
  </cols>
  <sheetData>
    <row r="1" spans="1:9" ht="14.25">
      <c r="A1" s="1" t="s">
        <v>658</v>
      </c>
      <c r="B1" s="2"/>
      <c r="C1" s="2"/>
      <c r="D1" s="2"/>
      <c r="E1" s="2"/>
      <c r="F1" s="3"/>
      <c r="G1" s="4"/>
      <c r="H1" s="4"/>
      <c r="I1" s="4"/>
    </row>
    <row r="2" spans="1:9" ht="14.25">
      <c r="A2" s="1" t="s">
        <v>659</v>
      </c>
      <c r="B2" s="2"/>
      <c r="C2" s="2"/>
      <c r="D2" s="2"/>
      <c r="E2" s="2"/>
      <c r="F2" s="3"/>
      <c r="G2" s="4"/>
      <c r="H2" s="4"/>
      <c r="I2" s="4"/>
    </row>
    <row r="3" spans="1:9" ht="14.25">
      <c r="A3" s="1"/>
      <c r="B3" s="2"/>
      <c r="C3" s="2"/>
      <c r="D3" s="2"/>
      <c r="E3" s="2"/>
      <c r="F3" s="3"/>
      <c r="G3" s="4"/>
      <c r="H3" s="4"/>
      <c r="I3" s="4"/>
    </row>
    <row r="4" spans="1:9" ht="13.5" thickBot="1">
      <c r="A4" s="4"/>
      <c r="B4" s="4"/>
      <c r="C4" s="4"/>
      <c r="D4" s="4"/>
      <c r="E4" s="4"/>
      <c r="F4" s="4"/>
      <c r="G4" s="4"/>
      <c r="H4" s="4"/>
      <c r="I4" s="4"/>
    </row>
    <row r="5" spans="1:9" ht="18">
      <c r="A5" s="522" t="s">
        <v>660</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9" ht="15.75">
      <c r="A9" s="6"/>
      <c r="B9" s="5"/>
      <c r="C9" s="5"/>
      <c r="D9" s="5"/>
      <c r="E9" s="5"/>
      <c r="F9" s="5"/>
      <c r="G9" s="5"/>
      <c r="H9" s="5"/>
      <c r="I9" s="5"/>
    </row>
    <row r="10" spans="1:9" ht="15">
      <c r="A10" s="2"/>
      <c r="B10" s="5"/>
      <c r="C10" s="5"/>
      <c r="D10" s="5"/>
      <c r="E10" s="5"/>
      <c r="F10" s="5"/>
      <c r="G10" s="5"/>
      <c r="H10" s="5"/>
      <c r="I10" s="5"/>
    </row>
    <row r="11" spans="1:9" ht="15">
      <c r="A11" s="7" t="s">
        <v>661</v>
      </c>
      <c r="B11" s="527" t="s">
        <v>662</v>
      </c>
      <c r="C11" s="527"/>
      <c r="D11" s="527"/>
      <c r="E11" s="527"/>
      <c r="F11" s="527"/>
      <c r="G11" s="528" t="s">
        <v>663</v>
      </c>
      <c r="H11" s="514"/>
      <c r="I11" s="515"/>
    </row>
    <row r="12" spans="1:9" ht="15">
      <c r="A12" s="9" t="s">
        <v>664</v>
      </c>
      <c r="B12" s="10" t="s">
        <v>979</v>
      </c>
      <c r="C12" s="8" t="s">
        <v>665</v>
      </c>
      <c r="D12" s="8" t="s">
        <v>921</v>
      </c>
      <c r="E12" s="8" t="s">
        <v>665</v>
      </c>
      <c r="F12" s="8" t="s">
        <v>883</v>
      </c>
      <c r="G12" s="10" t="s">
        <v>979</v>
      </c>
      <c r="H12" s="8" t="s">
        <v>921</v>
      </c>
      <c r="I12" s="8" t="s">
        <v>883</v>
      </c>
    </row>
    <row r="13" spans="1:9" ht="15">
      <c r="A13" s="5"/>
      <c r="B13" s="11"/>
      <c r="C13" s="12"/>
      <c r="D13" s="11"/>
      <c r="E13" s="12"/>
      <c r="F13" s="12"/>
      <c r="G13" s="11"/>
      <c r="H13" s="11"/>
      <c r="I13" s="11"/>
    </row>
    <row r="14" spans="1:9" ht="15">
      <c r="A14" s="5" t="s">
        <v>666</v>
      </c>
      <c r="B14" s="11">
        <v>463920</v>
      </c>
      <c r="C14" s="12">
        <f aca="true" t="shared" si="0" ref="C14:C25">B14/B$27</f>
        <v>0.05094467607160674</v>
      </c>
      <c r="D14" s="31">
        <v>346876</v>
      </c>
      <c r="E14" s="12">
        <f>+D14/$D$27</f>
        <v>0.03922565972139373</v>
      </c>
      <c r="F14" s="12">
        <f>(B14-D14)/D14</f>
        <v>0.33742317139265904</v>
      </c>
      <c r="G14" s="11">
        <v>184471</v>
      </c>
      <c r="H14" s="11">
        <v>129051</v>
      </c>
      <c r="I14" s="12">
        <f>+(G14-H14)/H14</f>
        <v>0.4294426234589426</v>
      </c>
    </row>
    <row r="15" spans="1:9" ht="15">
      <c r="A15" s="5" t="s">
        <v>667</v>
      </c>
      <c r="B15" s="11">
        <v>1494524</v>
      </c>
      <c r="C15" s="46">
        <f t="shared" si="0"/>
        <v>0.164118902097866</v>
      </c>
      <c r="D15" s="31">
        <v>1484692</v>
      </c>
      <c r="E15" s="12">
        <f>+D15/$D$27</f>
        <v>0.16789291615181076</v>
      </c>
      <c r="F15" s="12">
        <f aca="true" t="shared" si="1" ref="F15:F27">(B15-D15)/D15</f>
        <v>0.006622248924356028</v>
      </c>
      <c r="G15" s="11">
        <v>542582</v>
      </c>
      <c r="H15" s="11">
        <v>473840</v>
      </c>
      <c r="I15" s="12">
        <f aca="true" t="shared" si="2" ref="I15:I27">+(G15-H15)/H15</f>
        <v>0.1450742866790478</v>
      </c>
    </row>
    <row r="16" spans="1:9" ht="15">
      <c r="A16" s="5" t="s">
        <v>668</v>
      </c>
      <c r="B16" s="11">
        <v>166575</v>
      </c>
      <c r="C16" s="46">
        <f t="shared" si="0"/>
        <v>0.018292182739756625</v>
      </c>
      <c r="D16" s="31">
        <v>169281</v>
      </c>
      <c r="E16" s="12">
        <f>+D16/$D$27</f>
        <v>0.019142745255645396</v>
      </c>
      <c r="F16" s="12">
        <f t="shared" si="1"/>
        <v>-0.015985255285590232</v>
      </c>
      <c r="G16" s="11">
        <v>45097</v>
      </c>
      <c r="H16" s="11">
        <v>41417</v>
      </c>
      <c r="I16" s="12">
        <f t="shared" si="2"/>
        <v>0.0888524036023855</v>
      </c>
    </row>
    <row r="17" spans="1:9" ht="15">
      <c r="A17" s="5" t="s">
        <v>669</v>
      </c>
      <c r="B17" s="11">
        <v>1362532</v>
      </c>
      <c r="C17" s="46">
        <f t="shared" si="0"/>
        <v>0.1496243994162754</v>
      </c>
      <c r="D17" s="31">
        <v>1370896</v>
      </c>
      <c r="E17" s="12">
        <f>+D17/$D$27</f>
        <v>0.1550245621185086</v>
      </c>
      <c r="F17" s="12">
        <f t="shared" si="1"/>
        <v>-0.0061011192679824</v>
      </c>
      <c r="G17" s="11">
        <v>464389</v>
      </c>
      <c r="H17" s="11">
        <v>408885</v>
      </c>
      <c r="I17" s="12">
        <f t="shared" si="2"/>
        <v>0.13574476931166465</v>
      </c>
    </row>
    <row r="18" spans="1:9" ht="15">
      <c r="A18" s="5" t="s">
        <v>885</v>
      </c>
      <c r="B18" s="11">
        <v>109399</v>
      </c>
      <c r="C18" s="46">
        <f t="shared" si="0"/>
        <v>0.012013486414807954</v>
      </c>
      <c r="D18" s="11">
        <v>28933</v>
      </c>
      <c r="E18" s="12">
        <f>+D18/$D$27</f>
        <v>0.0032718205143021854</v>
      </c>
      <c r="F18" s="12">
        <f t="shared" si="1"/>
        <v>2.78111498980403</v>
      </c>
      <c r="G18" s="11">
        <v>61712</v>
      </c>
      <c r="H18" s="137">
        <v>23614</v>
      </c>
      <c r="I18" s="12">
        <f t="shared" si="2"/>
        <v>1.6133649529939866</v>
      </c>
    </row>
    <row r="19" spans="1:9" ht="15">
      <c r="A19" s="5" t="s">
        <v>670</v>
      </c>
      <c r="B19" s="11">
        <v>759781</v>
      </c>
      <c r="C19" s="46">
        <f t="shared" si="0"/>
        <v>0.08343420617856838</v>
      </c>
      <c r="D19" s="31">
        <v>711677</v>
      </c>
      <c r="E19" s="12">
        <f aca="true" t="shared" si="3" ref="E19:E25">+D19/$D$27</f>
        <v>0.08047832606909192</v>
      </c>
      <c r="F19" s="12">
        <f t="shared" si="1"/>
        <v>0.06759246118674624</v>
      </c>
      <c r="G19" s="11">
        <v>246020</v>
      </c>
      <c r="H19" s="11">
        <v>197132</v>
      </c>
      <c r="I19" s="12">
        <f t="shared" si="2"/>
        <v>0.24799626646105147</v>
      </c>
    </row>
    <row r="20" spans="1:9" ht="15">
      <c r="A20" s="5" t="s">
        <v>865</v>
      </c>
      <c r="B20" s="11">
        <v>2316148</v>
      </c>
      <c r="C20" s="46">
        <f t="shared" si="0"/>
        <v>0.2543443041772284</v>
      </c>
      <c r="D20" s="31">
        <v>2313860</v>
      </c>
      <c r="E20" s="12">
        <f t="shared" si="3"/>
        <v>0.26165743667173313</v>
      </c>
      <c r="F20" s="12">
        <f t="shared" si="1"/>
        <v>0.0009888238700699265</v>
      </c>
      <c r="G20" s="11">
        <v>732059</v>
      </c>
      <c r="H20" s="11">
        <v>628419</v>
      </c>
      <c r="I20" s="12">
        <f t="shared" si="2"/>
        <v>0.16492181172116055</v>
      </c>
    </row>
    <row r="21" spans="1:9" ht="15">
      <c r="A21" s="5" t="s">
        <v>671</v>
      </c>
      <c r="B21" s="11">
        <v>319346</v>
      </c>
      <c r="C21" s="12">
        <f t="shared" si="0"/>
        <v>0.03506850001026756</v>
      </c>
      <c r="D21" s="31">
        <v>314864</v>
      </c>
      <c r="E21" s="12">
        <f t="shared" si="3"/>
        <v>0.035605657706260785</v>
      </c>
      <c r="F21" s="12">
        <f>(B21-D21)/D21</f>
        <v>0.014234717211240408</v>
      </c>
      <c r="G21" s="11">
        <v>90927</v>
      </c>
      <c r="H21" s="11">
        <v>75388</v>
      </c>
      <c r="I21" s="12">
        <f>+(G21-H21)/H21</f>
        <v>0.20612033745423675</v>
      </c>
    </row>
    <row r="22" spans="1:9" ht="15">
      <c r="A22" s="5" t="s">
        <v>672</v>
      </c>
      <c r="B22" s="11">
        <v>160172</v>
      </c>
      <c r="C22" s="12">
        <f t="shared" si="0"/>
        <v>0.017589046938570004</v>
      </c>
      <c r="D22" s="31">
        <v>159284</v>
      </c>
      <c r="E22" s="12">
        <f t="shared" si="3"/>
        <v>0.01801225793385094</v>
      </c>
      <c r="F22" s="12">
        <f>(B22-D22)/D22</f>
        <v>0.005574947891815876</v>
      </c>
      <c r="G22" s="11">
        <v>41714</v>
      </c>
      <c r="H22" s="11">
        <v>37409</v>
      </c>
      <c r="I22" s="12">
        <f>+(G22-H22)/H22</f>
        <v>0.11507925900184447</v>
      </c>
    </row>
    <row r="23" spans="1:9" ht="15">
      <c r="A23" s="5" t="s">
        <v>818</v>
      </c>
      <c r="B23" s="11">
        <v>407791</v>
      </c>
      <c r="C23" s="12">
        <f t="shared" si="0"/>
        <v>0.04478095447472966</v>
      </c>
      <c r="D23" s="31">
        <v>405730</v>
      </c>
      <c r="E23" s="12">
        <f t="shared" si="3"/>
        <v>0.045881026415090925</v>
      </c>
      <c r="F23" s="12">
        <f>(B23-D23)/D23</f>
        <v>0.005079732827249649</v>
      </c>
      <c r="G23" s="11">
        <v>104586</v>
      </c>
      <c r="H23" s="11">
        <v>88254</v>
      </c>
      <c r="I23" s="12">
        <f>+(G23-H23)/H23</f>
        <v>0.18505676796519138</v>
      </c>
    </row>
    <row r="24" spans="1:9" ht="15">
      <c r="A24" s="5" t="s">
        <v>989</v>
      </c>
      <c r="B24" s="11">
        <v>1350252</v>
      </c>
      <c r="C24" s="12">
        <f t="shared" si="0"/>
        <v>0.1482758897116726</v>
      </c>
      <c r="D24" s="31">
        <v>1360029</v>
      </c>
      <c r="E24" s="12">
        <f t="shared" si="3"/>
        <v>0.15379569288514455</v>
      </c>
      <c r="F24" s="12">
        <f>(B24-D24)/D24</f>
        <v>-0.0071888172972782195</v>
      </c>
      <c r="G24" s="11">
        <v>454116</v>
      </c>
      <c r="H24" s="11">
        <v>414818</v>
      </c>
      <c r="I24" s="12">
        <f>+(G24-H24)/H24</f>
        <v>0.09473552256652315</v>
      </c>
    </row>
    <row r="25" spans="1:9" ht="15">
      <c r="A25" s="5" t="s">
        <v>673</v>
      </c>
      <c r="B25" s="11">
        <v>195909</v>
      </c>
      <c r="C25" s="12">
        <f t="shared" si="0"/>
        <v>0.021513451768650643</v>
      </c>
      <c r="D25" s="11">
        <v>176967</v>
      </c>
      <c r="E25" s="12">
        <f t="shared" si="3"/>
        <v>0.020011898557167073</v>
      </c>
      <c r="F25" s="12">
        <f>(B25-D25)/D25</f>
        <v>0.10703690518571259</v>
      </c>
      <c r="G25" s="11">
        <v>58897</v>
      </c>
      <c r="H25" s="27">
        <v>43393</v>
      </c>
      <c r="I25" s="12">
        <f>+(G25-H25)/H25</f>
        <v>0.3572926508883921</v>
      </c>
    </row>
    <row r="27" spans="1:9" ht="14.25">
      <c r="A27" s="13" t="s">
        <v>674</v>
      </c>
      <c r="B27" s="14">
        <f>SUM(B14:B25)</f>
        <v>9106349</v>
      </c>
      <c r="C27" s="15">
        <f>SUM(C14:C25)</f>
        <v>0.9999999999999998</v>
      </c>
      <c r="D27" s="14">
        <f>SUM(D14:D25)</f>
        <v>8843089</v>
      </c>
      <c r="E27" s="15">
        <f>SUM(E14:E25)</f>
        <v>1</v>
      </c>
      <c r="F27" s="16">
        <f t="shared" si="1"/>
        <v>0.029770140275643498</v>
      </c>
      <c r="G27" s="14">
        <f>SUM(G14:G25)</f>
        <v>3026570</v>
      </c>
      <c r="H27" s="14">
        <f>SUM(H14:H25)</f>
        <v>2561620</v>
      </c>
      <c r="I27" s="16">
        <f t="shared" si="2"/>
        <v>0.1815062343360842</v>
      </c>
    </row>
    <row r="28" spans="1:9" ht="7.5" customHeight="1">
      <c r="A28" s="11"/>
      <c r="B28" s="11"/>
      <c r="C28" s="11"/>
      <c r="D28" s="11"/>
      <c r="E28" s="11"/>
      <c r="F28" s="11"/>
      <c r="G28" s="11"/>
      <c r="H28" s="11"/>
      <c r="I28" s="11"/>
    </row>
    <row r="29" spans="1:9" s="151" customFormat="1" ht="12.75">
      <c r="A29" s="69" t="s">
        <v>1156</v>
      </c>
      <c r="B29" s="67"/>
      <c r="C29" s="62"/>
      <c r="D29" s="62"/>
      <c r="E29" s="62"/>
      <c r="F29" s="62"/>
      <c r="G29" s="62"/>
      <c r="H29" s="62"/>
      <c r="I29" s="62"/>
    </row>
    <row r="30" spans="1:9" ht="12.75" customHeight="1">
      <c r="A30" s="68" t="s">
        <v>1157</v>
      </c>
      <c r="B30" s="1"/>
      <c r="C30" s="1"/>
      <c r="D30" s="18"/>
      <c r="E30" s="18"/>
      <c r="F30" s="18"/>
      <c r="G30" s="18"/>
      <c r="H30" s="18"/>
      <c r="I30" s="18"/>
    </row>
    <row r="31" spans="1:9" ht="12.75" customHeight="1">
      <c r="A31" s="68"/>
      <c r="B31" s="1"/>
      <c r="C31" s="1"/>
      <c r="D31" s="18"/>
      <c r="E31" s="18"/>
      <c r="F31" s="18"/>
      <c r="G31" s="18"/>
      <c r="H31" s="18"/>
      <c r="I31" s="18"/>
    </row>
    <row r="32" spans="1:9" ht="12.75" customHeight="1">
      <c r="A32" s="68"/>
      <c r="B32" s="1"/>
      <c r="C32" s="1"/>
      <c r="D32" s="18"/>
      <c r="E32" s="18"/>
      <c r="F32" s="18"/>
      <c r="G32" s="18"/>
      <c r="H32" s="18"/>
      <c r="I32" s="18"/>
    </row>
    <row r="36" spans="2:3" ht="12.75">
      <c r="B36" t="s">
        <v>737</v>
      </c>
      <c r="C36" t="s">
        <v>738</v>
      </c>
    </row>
    <row r="37" spans="1:3" ht="12.75">
      <c r="A37">
        <v>1994</v>
      </c>
      <c r="B37" s="36">
        <v>3431.012</v>
      </c>
      <c r="C37" s="36">
        <v>2028.653</v>
      </c>
    </row>
    <row r="38" spans="1:3" ht="12.75">
      <c r="A38">
        <v>1995</v>
      </c>
      <c r="B38" s="36">
        <v>4880</v>
      </c>
      <c r="C38" s="36">
        <v>2644.099</v>
      </c>
    </row>
    <row r="39" spans="1:3" ht="12.75">
      <c r="A39">
        <v>1996</v>
      </c>
      <c r="B39" s="36">
        <v>5472.071</v>
      </c>
      <c r="C39" s="36">
        <v>2762.25</v>
      </c>
    </row>
    <row r="40" spans="1:3" ht="12.75">
      <c r="A40">
        <v>1997</v>
      </c>
      <c r="B40" s="36">
        <v>6256.443</v>
      </c>
      <c r="C40" s="36">
        <v>3073.537</v>
      </c>
    </row>
    <row r="41" spans="1:3" ht="12.75">
      <c r="A41">
        <v>1998</v>
      </c>
      <c r="B41" s="36">
        <v>7067.123</v>
      </c>
      <c r="C41" s="36">
        <v>3459.176</v>
      </c>
    </row>
    <row r="42" spans="1:3" ht="12.75">
      <c r="A42">
        <v>1999</v>
      </c>
      <c r="B42" s="36">
        <v>7854.412</v>
      </c>
      <c r="C42" s="36">
        <v>3483.265</v>
      </c>
    </row>
    <row r="43" spans="1:3" ht="12.75">
      <c r="A43" s="80">
        <v>2000</v>
      </c>
      <c r="B43" s="36">
        <v>8395.368</v>
      </c>
      <c r="C43" s="36">
        <v>3279.942</v>
      </c>
    </row>
    <row r="44" spans="1:3" ht="12.75">
      <c r="A44" s="80">
        <v>2001</v>
      </c>
      <c r="B44" s="36">
        <v>8843.089</v>
      </c>
      <c r="C44" s="36">
        <v>2561.62</v>
      </c>
    </row>
    <row r="45" spans="1:3" ht="12.75">
      <c r="A45" s="80">
        <v>2002</v>
      </c>
      <c r="B45" s="36">
        <f>+B27/1000</f>
        <v>9106.349</v>
      </c>
      <c r="C45" s="36">
        <f>+G27/1000</f>
        <v>3026.57</v>
      </c>
    </row>
  </sheetData>
  <mergeCells count="6">
    <mergeCell ref="A5:I5"/>
    <mergeCell ref="A7:I7"/>
    <mergeCell ref="A8:I8"/>
    <mergeCell ref="B11:F11"/>
    <mergeCell ref="G11:I11"/>
    <mergeCell ref="A6:I6"/>
  </mergeCells>
  <printOptions horizontalCentered="1"/>
  <pageMargins left="0.75" right="0.75" top="0.07874015748031496" bottom="1" header="0" footer="0"/>
  <pageSetup horizontalDpi="300" verticalDpi="300" orientation="portrait" scale="90" r:id="rId2"/>
  <headerFooter alignWithMargins="0">
    <oddFooter>&amp;C18</oddFooter>
  </headerFooter>
  <drawing r:id="rId1"/>
</worksheet>
</file>

<file path=xl/worksheets/sheet40.xml><?xml version="1.0" encoding="utf-8"?>
<worksheet xmlns="http://schemas.openxmlformats.org/spreadsheetml/2006/main" xmlns:r="http://schemas.openxmlformats.org/officeDocument/2006/relationships">
  <dimension ref="A1:I71"/>
  <sheetViews>
    <sheetView workbookViewId="0" topLeftCell="A1">
      <selection activeCell="A5" sqref="A5:F5"/>
    </sheetView>
  </sheetViews>
  <sheetFormatPr defaultColWidth="11.421875" defaultRowHeight="12.75"/>
  <cols>
    <col min="1" max="1" width="31.8515625" style="34" customWidth="1"/>
    <col min="2" max="2" width="16.8515625" style="34" customWidth="1"/>
    <col min="3" max="3" width="13.28125" style="34" customWidth="1"/>
    <col min="4" max="4" width="16.8515625" style="34" customWidth="1"/>
    <col min="5" max="6" width="13.28125" style="34" customWidth="1"/>
  </cols>
  <sheetData>
    <row r="1" spans="1:5" ht="12.75">
      <c r="A1" s="1" t="s">
        <v>658</v>
      </c>
      <c r="B1" s="1"/>
      <c r="C1" s="1"/>
      <c r="D1" s="1"/>
      <c r="E1" s="3"/>
    </row>
    <row r="2" spans="1:5" ht="12.75">
      <c r="A2" s="1" t="s">
        <v>659</v>
      </c>
      <c r="B2" s="1"/>
      <c r="C2" s="1"/>
      <c r="D2" s="1"/>
      <c r="E2" s="3"/>
    </row>
    <row r="3" spans="1:5" ht="12.75">
      <c r="A3" s="1"/>
      <c r="B3" s="1"/>
      <c r="C3" s="1"/>
      <c r="D3" s="1"/>
      <c r="E3" s="3"/>
    </row>
    <row r="4" spans="1:5" ht="13.5" thickBot="1">
      <c r="A4" s="1"/>
      <c r="B4" s="1"/>
      <c r="C4" s="1"/>
      <c r="D4" s="1"/>
      <c r="E4" s="3"/>
    </row>
    <row r="5" spans="1:6" ht="18.75">
      <c r="A5" s="582" t="s">
        <v>632</v>
      </c>
      <c r="B5" s="583"/>
      <c r="C5" s="583"/>
      <c r="D5" s="583"/>
      <c r="E5" s="583"/>
      <c r="F5" s="584"/>
    </row>
    <row r="6" spans="1:6" ht="18.75" thickBot="1">
      <c r="A6" s="516" t="s">
        <v>905</v>
      </c>
      <c r="B6" s="517"/>
      <c r="C6" s="517"/>
      <c r="D6" s="517"/>
      <c r="E6" s="517"/>
      <c r="F6" s="518"/>
    </row>
    <row r="7" spans="1:6" ht="15.75">
      <c r="A7" s="525" t="s">
        <v>1059</v>
      </c>
      <c r="B7" s="525"/>
      <c r="C7" s="525"/>
      <c r="D7" s="525"/>
      <c r="E7" s="525"/>
      <c r="F7" s="525"/>
    </row>
    <row r="8" spans="1:6" ht="15.75">
      <c r="A8" s="526" t="s">
        <v>1060</v>
      </c>
      <c r="B8" s="526"/>
      <c r="C8" s="526"/>
      <c r="D8" s="526"/>
      <c r="E8" s="526"/>
      <c r="F8" s="526"/>
    </row>
    <row r="9" spans="1:5" ht="15">
      <c r="A9" s="22"/>
      <c r="B9" s="2"/>
      <c r="C9" s="2"/>
      <c r="D9" s="2"/>
      <c r="E9" s="5"/>
    </row>
    <row r="10" spans="1:5" ht="15">
      <c r="A10" s="22"/>
      <c r="B10" s="2"/>
      <c r="C10" s="2"/>
      <c r="D10" s="2"/>
      <c r="E10" s="5"/>
    </row>
    <row r="11" spans="1:6" ht="15">
      <c r="A11" s="7" t="s">
        <v>661</v>
      </c>
      <c r="B11" s="527" t="s">
        <v>662</v>
      </c>
      <c r="C11" s="527"/>
      <c r="D11" s="527"/>
      <c r="E11" s="527"/>
      <c r="F11" s="527"/>
    </row>
    <row r="12" spans="1:6" ht="15">
      <c r="A12" s="9" t="s">
        <v>664</v>
      </c>
      <c r="B12" s="10" t="s">
        <v>1030</v>
      </c>
      <c r="C12" s="8" t="s">
        <v>665</v>
      </c>
      <c r="D12" s="8" t="s">
        <v>921</v>
      </c>
      <c r="E12" s="8" t="s">
        <v>665</v>
      </c>
      <c r="F12" s="8" t="s">
        <v>883</v>
      </c>
    </row>
    <row r="13" spans="1:6" ht="15">
      <c r="A13" s="104"/>
      <c r="B13" s="93"/>
      <c r="C13" s="104"/>
      <c r="D13" s="93"/>
      <c r="E13" s="104"/>
      <c r="F13" s="60"/>
    </row>
    <row r="14" spans="1:6" ht="15">
      <c r="A14" s="5" t="s">
        <v>633</v>
      </c>
      <c r="B14" s="31">
        <v>840338</v>
      </c>
      <c r="C14" s="58">
        <f aca="true" t="shared" si="0" ref="C14:C30">+B14/$B$32</f>
        <v>0.07717972345320799</v>
      </c>
      <c r="D14" s="31">
        <v>840410</v>
      </c>
      <c r="E14" s="58">
        <f aca="true" t="shared" si="1" ref="E14:E30">+D14/$D$32</f>
        <v>0.07900514119556745</v>
      </c>
      <c r="F14" s="58">
        <f>+(B14-D14)/D14</f>
        <v>-8.567246938994063E-05</v>
      </c>
    </row>
    <row r="15" spans="1:6" ht="15">
      <c r="A15" s="5" t="s">
        <v>829</v>
      </c>
      <c r="B15" s="31">
        <v>230938</v>
      </c>
      <c r="C15" s="58">
        <f t="shared" si="0"/>
        <v>0.021210192773428012</v>
      </c>
      <c r="D15" s="31">
        <v>215355</v>
      </c>
      <c r="E15" s="58">
        <f t="shared" si="1"/>
        <v>0.020245061555873238</v>
      </c>
      <c r="F15" s="58">
        <f>+(B15-D15)/D15</f>
        <v>0.07235959230108426</v>
      </c>
    </row>
    <row r="16" spans="1:6" ht="15">
      <c r="A16" s="5" t="s">
        <v>634</v>
      </c>
      <c r="B16" s="31">
        <v>384060</v>
      </c>
      <c r="C16" s="58">
        <f t="shared" si="0"/>
        <v>0.035273478754309646</v>
      </c>
      <c r="D16" s="31">
        <v>389075</v>
      </c>
      <c r="E16" s="58">
        <f t="shared" si="1"/>
        <v>0.036576106079967405</v>
      </c>
      <c r="F16" s="58">
        <f>+(B16-D16)/D16</f>
        <v>-0.01288954571740667</v>
      </c>
    </row>
    <row r="17" spans="1:6" ht="15">
      <c r="A17" s="5" t="s">
        <v>812</v>
      </c>
      <c r="B17" s="31">
        <v>2476905</v>
      </c>
      <c r="C17" s="58">
        <f t="shared" si="0"/>
        <v>0.22748803805119863</v>
      </c>
      <c r="D17" s="31">
        <v>2442917</v>
      </c>
      <c r="E17" s="58">
        <f t="shared" si="1"/>
        <v>0.2296533864590522</v>
      </c>
      <c r="F17" s="58">
        <f aca="true" t="shared" si="2" ref="F17:F30">+(B17-D17)/D17</f>
        <v>0.013912875468139114</v>
      </c>
    </row>
    <row r="18" spans="1:6" ht="15">
      <c r="A18" s="5" t="s">
        <v>1055</v>
      </c>
      <c r="B18" s="31">
        <v>332935</v>
      </c>
      <c r="C18" s="58">
        <f t="shared" si="0"/>
        <v>0.030577971278097388</v>
      </c>
      <c r="D18" s="31">
        <v>317504</v>
      </c>
      <c r="E18" s="58">
        <f t="shared" si="1"/>
        <v>0.02984786990892237</v>
      </c>
      <c r="F18" s="58">
        <f t="shared" si="2"/>
        <v>0.04860096250755896</v>
      </c>
    </row>
    <row r="19" spans="1:6" ht="15">
      <c r="A19" s="5" t="s">
        <v>814</v>
      </c>
      <c r="B19" s="31">
        <v>246248</v>
      </c>
      <c r="C19" s="58">
        <f t="shared" si="0"/>
        <v>0.02261631931544874</v>
      </c>
      <c r="D19" s="31">
        <v>219853</v>
      </c>
      <c r="E19" s="58">
        <f t="shared" si="1"/>
        <v>0.0206679088864591</v>
      </c>
      <c r="F19" s="58">
        <f t="shared" si="2"/>
        <v>0.1200574929612059</v>
      </c>
    </row>
    <row r="20" spans="1:6" ht="15">
      <c r="A20" s="5" t="s">
        <v>830</v>
      </c>
      <c r="B20" s="31">
        <v>239613</v>
      </c>
      <c r="C20" s="58">
        <f t="shared" si="0"/>
        <v>0.022006936584795078</v>
      </c>
      <c r="D20" s="31">
        <v>236240</v>
      </c>
      <c r="E20" s="58">
        <f t="shared" si="1"/>
        <v>0.022208415601957205</v>
      </c>
      <c r="F20" s="58">
        <f t="shared" si="2"/>
        <v>0.014277853030816119</v>
      </c>
    </row>
    <row r="21" spans="1:6" ht="15">
      <c r="A21" s="5" t="s">
        <v>1061</v>
      </c>
      <c r="B21" s="31">
        <v>324459</v>
      </c>
      <c r="C21" s="58">
        <f t="shared" si="0"/>
        <v>0.02979950435646658</v>
      </c>
      <c r="D21" s="31">
        <v>261188</v>
      </c>
      <c r="E21" s="58">
        <f t="shared" si="1"/>
        <v>0.024553723561818484</v>
      </c>
      <c r="F21" s="58">
        <f>+(B21-D21)/D21</f>
        <v>0.24224313521295007</v>
      </c>
    </row>
    <row r="22" spans="1:6" ht="15">
      <c r="A22" s="5" t="s">
        <v>957</v>
      </c>
      <c r="B22" s="31">
        <v>1797825</v>
      </c>
      <c r="C22" s="58">
        <f t="shared" si="0"/>
        <v>0.1651188406537175</v>
      </c>
      <c r="D22" s="31">
        <v>1730154</v>
      </c>
      <c r="E22" s="58">
        <f t="shared" si="1"/>
        <v>0.1626480658964979</v>
      </c>
      <c r="F22" s="58">
        <f>+(B22-D22)/D22</f>
        <v>0.039112703262252954</v>
      </c>
    </row>
    <row r="23" spans="1:6" ht="15">
      <c r="A23" s="5" t="s">
        <v>1056</v>
      </c>
      <c r="B23" s="31">
        <v>160537</v>
      </c>
      <c r="C23" s="58">
        <f t="shared" si="0"/>
        <v>0.014744306771808073</v>
      </c>
      <c r="D23" s="31">
        <v>135264</v>
      </c>
      <c r="E23" s="58">
        <f t="shared" si="1"/>
        <v>0.012715878462509057</v>
      </c>
      <c r="F23" s="58">
        <f t="shared" si="2"/>
        <v>0.1868420274426307</v>
      </c>
    </row>
    <row r="24" spans="1:6" ht="15">
      <c r="A24" s="5" t="s">
        <v>1062</v>
      </c>
      <c r="B24" s="31">
        <v>292613</v>
      </c>
      <c r="C24" s="58">
        <f t="shared" si="0"/>
        <v>0.026874650936663046</v>
      </c>
      <c r="D24" s="31">
        <v>292250</v>
      </c>
      <c r="E24" s="58">
        <f t="shared" si="1"/>
        <v>0.02747379554551301</v>
      </c>
      <c r="F24" s="58">
        <f>+(B24-D24)/D24</f>
        <v>0.0012420872540633019</v>
      </c>
    </row>
    <row r="25" spans="1:6" ht="15">
      <c r="A25" s="5" t="s">
        <v>635</v>
      </c>
      <c r="B25" s="31">
        <v>450235</v>
      </c>
      <c r="C25" s="58">
        <f t="shared" si="0"/>
        <v>0.04135123341911838</v>
      </c>
      <c r="D25" s="31">
        <v>451579</v>
      </c>
      <c r="E25" s="58">
        <f t="shared" si="1"/>
        <v>0.04245197303215473</v>
      </c>
      <c r="F25" s="58">
        <f>+(B25-D25)/D25</f>
        <v>-0.0029762234293445886</v>
      </c>
    </row>
    <row r="26" spans="1:6" ht="15">
      <c r="A26" s="5" t="s">
        <v>636</v>
      </c>
      <c r="B26" s="31">
        <v>128509</v>
      </c>
      <c r="C26" s="58">
        <f t="shared" si="0"/>
        <v>0.011802737804607558</v>
      </c>
      <c r="D26" s="31">
        <v>131882</v>
      </c>
      <c r="E26" s="58">
        <f t="shared" si="1"/>
        <v>0.012397943897804437</v>
      </c>
      <c r="F26" s="58">
        <f>+(B26-D26)/D26</f>
        <v>-0.025575893601856206</v>
      </c>
    </row>
    <row r="27" spans="1:6" ht="15">
      <c r="A27" s="5" t="s">
        <v>1057</v>
      </c>
      <c r="B27" s="31">
        <v>1773063</v>
      </c>
      <c r="C27" s="58">
        <f t="shared" si="0"/>
        <v>0.162844607771058</v>
      </c>
      <c r="D27" s="31">
        <v>1751972</v>
      </c>
      <c r="E27" s="58">
        <f t="shared" si="1"/>
        <v>0.1646991292710471</v>
      </c>
      <c r="F27" s="58">
        <f>+(B27-D27)/D27</f>
        <v>0.012038434404202807</v>
      </c>
    </row>
    <row r="28" spans="1:6" ht="15">
      <c r="A28" s="5" t="s">
        <v>1058</v>
      </c>
      <c r="B28" s="31">
        <v>442851</v>
      </c>
      <c r="C28" s="58">
        <f t="shared" si="0"/>
        <v>0.040673059781869456</v>
      </c>
      <c r="D28" s="31">
        <v>452060</v>
      </c>
      <c r="E28" s="58">
        <f t="shared" si="1"/>
        <v>0.042497190810280965</v>
      </c>
      <c r="F28" s="58">
        <f t="shared" si="2"/>
        <v>-0.020371189665088704</v>
      </c>
    </row>
    <row r="29" spans="1:9" ht="15">
      <c r="A29" s="5" t="s">
        <v>813</v>
      </c>
      <c r="B29" s="31">
        <v>386178</v>
      </c>
      <c r="C29" s="58">
        <f t="shared" si="0"/>
        <v>0.035468003641050336</v>
      </c>
      <c r="D29" s="31">
        <v>376788</v>
      </c>
      <c r="E29" s="58">
        <f t="shared" si="1"/>
        <v>0.035421031568871705</v>
      </c>
      <c r="F29" s="58">
        <f t="shared" si="2"/>
        <v>0.024921175833625273</v>
      </c>
      <c r="I29" s="47"/>
    </row>
    <row r="30" spans="1:6" ht="15">
      <c r="A30" s="5" t="s">
        <v>706</v>
      </c>
      <c r="B30" s="31">
        <v>380760</v>
      </c>
      <c r="C30" s="58">
        <f t="shared" si="0"/>
        <v>0.03497039465315561</v>
      </c>
      <c r="D30" s="31">
        <v>392918</v>
      </c>
      <c r="E30" s="58">
        <f t="shared" si="1"/>
        <v>0.03693737826570361</v>
      </c>
      <c r="F30" s="58">
        <f t="shared" si="2"/>
        <v>-0.03094284303595152</v>
      </c>
    </row>
    <row r="31" spans="2:6" ht="15">
      <c r="B31" s="31"/>
      <c r="C31" s="28"/>
      <c r="D31" s="28"/>
      <c r="E31" s="28"/>
      <c r="F31" s="28"/>
    </row>
    <row r="32" spans="1:6" ht="14.25">
      <c r="A32" s="13" t="s">
        <v>674</v>
      </c>
      <c r="B32" s="121">
        <f>SUM(B14:B31)</f>
        <v>10888067</v>
      </c>
      <c r="C32" s="128">
        <f>SUM(C14:C31)</f>
        <v>1</v>
      </c>
      <c r="D32" s="121">
        <f>SUM(D14:D30)</f>
        <v>10637409</v>
      </c>
      <c r="E32" s="15">
        <f>SUM(E14:E30)</f>
        <v>1</v>
      </c>
      <c r="F32" s="15">
        <f>+(B32-D32)/D32</f>
        <v>0.023563820851487425</v>
      </c>
    </row>
    <row r="33" spans="1:6" ht="14.25">
      <c r="A33" s="2"/>
      <c r="B33" s="152"/>
      <c r="C33" s="153"/>
      <c r="D33" s="152"/>
      <c r="E33" s="82"/>
      <c r="F33" s="82"/>
    </row>
    <row r="34" spans="1:6" ht="15.75" customHeight="1">
      <c r="A34" s="69" t="s">
        <v>657</v>
      </c>
      <c r="B34" s="31"/>
      <c r="C34" s="28"/>
      <c r="D34" s="28"/>
      <c r="E34" s="28"/>
      <c r="F34" s="28"/>
    </row>
    <row r="35" spans="1:6" ht="15.75" customHeight="1">
      <c r="A35" s="69"/>
      <c r="B35" s="31"/>
      <c r="C35" s="28"/>
      <c r="D35" s="28"/>
      <c r="E35" s="28"/>
      <c r="F35" s="28"/>
    </row>
    <row r="36" spans="2:6" ht="15">
      <c r="B36" s="31"/>
      <c r="C36" s="28"/>
      <c r="D36" s="28"/>
      <c r="E36" s="28"/>
      <c r="F36" s="28"/>
    </row>
    <row r="37" spans="1:6" ht="15">
      <c r="A37" s="34">
        <v>1999</v>
      </c>
      <c r="B37" s="31">
        <v>11188.118</v>
      </c>
      <c r="C37" s="28"/>
      <c r="D37" s="28"/>
      <c r="E37" s="28"/>
      <c r="F37" s="28"/>
    </row>
    <row r="38" spans="1:6" ht="15">
      <c r="A38" s="34">
        <v>2000</v>
      </c>
      <c r="B38" s="31">
        <v>10401.74</v>
      </c>
      <c r="C38" s="28"/>
      <c r="D38" s="28"/>
      <c r="E38" s="28"/>
      <c r="F38" s="28"/>
    </row>
    <row r="39" spans="1:6" ht="15">
      <c r="A39" s="34">
        <v>2001</v>
      </c>
      <c r="B39" s="31">
        <v>10637.409</v>
      </c>
      <c r="C39" s="28"/>
      <c r="D39" s="28"/>
      <c r="E39" s="28"/>
      <c r="F39" s="28"/>
    </row>
    <row r="40" spans="1:6" ht="15">
      <c r="A40" s="34">
        <v>2002</v>
      </c>
      <c r="B40" s="31">
        <v>10888.067</v>
      </c>
      <c r="C40" s="28"/>
      <c r="D40" s="28"/>
      <c r="E40" s="28"/>
      <c r="F40" s="28"/>
    </row>
    <row r="41" spans="2:6" ht="15">
      <c r="B41" s="31"/>
      <c r="C41" s="28"/>
      <c r="D41" s="28"/>
      <c r="E41" s="28"/>
      <c r="F41" s="28"/>
    </row>
    <row r="42" spans="2:6" ht="15">
      <c r="B42" s="31"/>
      <c r="C42" s="28"/>
      <c r="D42" s="28"/>
      <c r="E42" s="28"/>
      <c r="F42" s="28"/>
    </row>
    <row r="43" spans="2:6" ht="15">
      <c r="B43" s="31"/>
      <c r="C43" s="28"/>
      <c r="D43" s="28"/>
      <c r="E43" s="28"/>
      <c r="F43" s="28"/>
    </row>
    <row r="44" spans="2:6" ht="15">
      <c r="B44" s="31"/>
      <c r="C44" s="28"/>
      <c r="D44" s="28"/>
      <c r="E44" s="28"/>
      <c r="F44" s="28"/>
    </row>
    <row r="45" spans="2:6" ht="15">
      <c r="B45" s="31"/>
      <c r="C45" s="28"/>
      <c r="D45" s="28"/>
      <c r="E45" s="28"/>
      <c r="F45" s="28"/>
    </row>
    <row r="46" spans="2:6" ht="15">
      <c r="B46" s="31"/>
      <c r="C46" s="28"/>
      <c r="D46" s="28"/>
      <c r="E46" s="28"/>
      <c r="F46" s="28"/>
    </row>
    <row r="47" spans="2:6" ht="15">
      <c r="B47" s="31"/>
      <c r="C47" s="28"/>
      <c r="D47" s="28"/>
      <c r="E47" s="28"/>
      <c r="F47" s="28"/>
    </row>
    <row r="48" spans="2:6" ht="15">
      <c r="B48" s="31"/>
      <c r="C48" s="28"/>
      <c r="D48" s="28"/>
      <c r="E48" s="28"/>
      <c r="F48" s="28"/>
    </row>
    <row r="49" spans="2:6" ht="15">
      <c r="B49" s="31"/>
      <c r="C49" s="28"/>
      <c r="D49" s="28"/>
      <c r="E49" s="28"/>
      <c r="F49" s="28"/>
    </row>
    <row r="50" spans="2:6" ht="15">
      <c r="B50" s="31"/>
      <c r="C50" s="28"/>
      <c r="D50" s="28"/>
      <c r="E50" s="28"/>
      <c r="F50" s="28"/>
    </row>
    <row r="51" spans="2:6" ht="15">
      <c r="B51" s="31"/>
      <c r="C51" s="28"/>
      <c r="D51" s="28"/>
      <c r="E51" s="28"/>
      <c r="F51" s="28"/>
    </row>
    <row r="52" spans="2:6" ht="15">
      <c r="B52" s="31"/>
      <c r="C52" s="28"/>
      <c r="D52" s="28"/>
      <c r="E52" s="28"/>
      <c r="F52" s="28"/>
    </row>
    <row r="53" spans="2:6" ht="15">
      <c r="B53" s="31"/>
      <c r="C53" s="28"/>
      <c r="D53" s="28"/>
      <c r="E53" s="28"/>
      <c r="F53" s="28"/>
    </row>
    <row r="54" spans="2:6" ht="15">
      <c r="B54" s="31"/>
      <c r="C54" s="28"/>
      <c r="D54" s="28"/>
      <c r="E54" s="28"/>
      <c r="F54" s="28"/>
    </row>
    <row r="55" spans="2:6" ht="15">
      <c r="B55" s="31"/>
      <c r="C55" s="28"/>
      <c r="D55" s="28"/>
      <c r="E55" s="28"/>
      <c r="F55" s="28"/>
    </row>
    <row r="56" ht="12.75">
      <c r="B56" s="97"/>
    </row>
    <row r="57" ht="12.75">
      <c r="B57" s="97"/>
    </row>
    <row r="58" ht="12.75">
      <c r="B58" s="97"/>
    </row>
    <row r="59" ht="12.75">
      <c r="B59" s="97"/>
    </row>
    <row r="60" ht="12.75">
      <c r="B60" s="97"/>
    </row>
    <row r="61" ht="12.75">
      <c r="B61" s="97"/>
    </row>
    <row r="62" ht="12.75">
      <c r="B62" s="97"/>
    </row>
    <row r="63" ht="12.75">
      <c r="B63" s="97"/>
    </row>
    <row r="64" ht="12.75">
      <c r="B64" s="97"/>
    </row>
    <row r="65" ht="12.75">
      <c r="B65" s="97"/>
    </row>
    <row r="66" ht="12.75">
      <c r="B66" s="97"/>
    </row>
    <row r="67" ht="12.75">
      <c r="B67" s="97"/>
    </row>
    <row r="68" ht="12.75">
      <c r="B68" s="97"/>
    </row>
    <row r="69" ht="12.75">
      <c r="B69" s="97"/>
    </row>
    <row r="70" ht="12.75">
      <c r="B70" s="97"/>
    </row>
    <row r="71" ht="12.75">
      <c r="B71" s="97"/>
    </row>
  </sheetData>
  <mergeCells count="5">
    <mergeCell ref="A5:F5"/>
    <mergeCell ref="A7:F7"/>
    <mergeCell ref="A8:F8"/>
    <mergeCell ref="B11:F11"/>
    <mergeCell ref="A6:F6"/>
  </mergeCells>
  <printOptions horizontalCentered="1"/>
  <pageMargins left="0.75" right="0.75" top="1" bottom="1" header="0" footer="0"/>
  <pageSetup horizontalDpi="300" verticalDpi="300" orientation="portrait" scale="90" r:id="rId2"/>
  <headerFooter alignWithMargins="0">
    <oddFooter>&amp;C54</oddFooter>
  </headerFooter>
  <drawing r:id="rId1"/>
</worksheet>
</file>

<file path=xl/worksheets/sheet41.xml><?xml version="1.0" encoding="utf-8"?>
<worksheet xmlns="http://schemas.openxmlformats.org/spreadsheetml/2006/main" xmlns:r="http://schemas.openxmlformats.org/officeDocument/2006/relationships">
  <dimension ref="A1:L807"/>
  <sheetViews>
    <sheetView workbookViewId="0" topLeftCell="A1">
      <selection activeCell="A5" sqref="A5:F5"/>
    </sheetView>
  </sheetViews>
  <sheetFormatPr defaultColWidth="11.421875" defaultRowHeight="12.75"/>
  <cols>
    <col min="1" max="1" width="30.421875" style="0" customWidth="1"/>
    <col min="2" max="2" width="18.00390625" style="0" customWidth="1"/>
    <col min="3" max="3" width="14.140625" style="0" customWidth="1"/>
    <col min="4" max="4" width="18.00390625" style="0" customWidth="1"/>
    <col min="5" max="6" width="14.140625" style="0" customWidth="1"/>
    <col min="8" max="9" width="11.00390625" style="0" bestFit="1" customWidth="1"/>
    <col min="11" max="11" width="11.00390625" style="0" bestFit="1" customWidth="1"/>
  </cols>
  <sheetData>
    <row r="1" spans="1:5" ht="12.75">
      <c r="A1" s="1" t="s">
        <v>658</v>
      </c>
      <c r="B1" s="1"/>
      <c r="C1" s="1"/>
      <c r="D1" s="1"/>
      <c r="E1" s="3"/>
    </row>
    <row r="2" spans="1:5" ht="12.75">
      <c r="A2" s="1" t="s">
        <v>659</v>
      </c>
      <c r="B2" s="1"/>
      <c r="C2" s="1"/>
      <c r="D2" s="1"/>
      <c r="E2" s="3"/>
    </row>
    <row r="3" spans="1:5" ht="12.75">
      <c r="A3" s="1"/>
      <c r="B3" s="1"/>
      <c r="C3" s="1"/>
      <c r="D3" s="1"/>
      <c r="E3" s="3"/>
    </row>
    <row r="4" spans="1:5" ht="13.5" thickBot="1">
      <c r="A4" s="1"/>
      <c r="B4" s="1"/>
      <c r="C4" s="1"/>
      <c r="D4" s="1"/>
      <c r="E4" s="3"/>
    </row>
    <row r="5" spans="1:6" ht="18">
      <c r="A5" s="522" t="s">
        <v>632</v>
      </c>
      <c r="B5" s="523"/>
      <c r="C5" s="523"/>
      <c r="D5" s="523"/>
      <c r="E5" s="523"/>
      <c r="F5" s="524"/>
    </row>
    <row r="6" spans="1:6" ht="18.75" thickBot="1">
      <c r="A6" s="516" t="s">
        <v>905</v>
      </c>
      <c r="B6" s="517"/>
      <c r="C6" s="517"/>
      <c r="D6" s="517"/>
      <c r="E6" s="517"/>
      <c r="F6" s="518"/>
    </row>
    <row r="7" spans="1:6" ht="15.75">
      <c r="A7" s="525" t="s">
        <v>1063</v>
      </c>
      <c r="B7" s="525"/>
      <c r="C7" s="525"/>
      <c r="D7" s="525"/>
      <c r="E7" s="525"/>
      <c r="F7" s="525"/>
    </row>
    <row r="8" spans="1:6" ht="15.75">
      <c r="A8" s="526" t="s">
        <v>1064</v>
      </c>
      <c r="B8" s="526"/>
      <c r="C8" s="526"/>
      <c r="D8" s="526"/>
      <c r="E8" s="526"/>
      <c r="F8" s="526"/>
    </row>
    <row r="9" spans="1:5" ht="15">
      <c r="A9" s="22"/>
      <c r="B9" s="2"/>
      <c r="C9" s="2"/>
      <c r="D9" s="2"/>
      <c r="E9" s="5"/>
    </row>
    <row r="10" spans="1:11" ht="15">
      <c r="A10" s="22"/>
      <c r="B10" s="2"/>
      <c r="C10" s="2"/>
      <c r="D10" s="2"/>
      <c r="E10" s="5"/>
      <c r="H10">
        <v>2002</v>
      </c>
      <c r="K10">
        <v>2001</v>
      </c>
    </row>
    <row r="11" spans="1:12" ht="14.25">
      <c r="A11" s="7" t="s">
        <v>661</v>
      </c>
      <c r="B11" s="7" t="s">
        <v>810</v>
      </c>
      <c r="C11" s="7" t="s">
        <v>712</v>
      </c>
      <c r="D11" s="7" t="s">
        <v>810</v>
      </c>
      <c r="E11" s="7" t="s">
        <v>712</v>
      </c>
      <c r="F11" s="7" t="s">
        <v>713</v>
      </c>
      <c r="H11" t="s">
        <v>656</v>
      </c>
      <c r="I11" t="s">
        <v>656</v>
      </c>
      <c r="K11" t="s">
        <v>656</v>
      </c>
      <c r="L11" t="s">
        <v>656</v>
      </c>
    </row>
    <row r="12" spans="1:12" ht="15">
      <c r="A12" s="23" t="s">
        <v>714</v>
      </c>
      <c r="B12" s="23" t="s">
        <v>811</v>
      </c>
      <c r="C12" s="24" t="s">
        <v>715</v>
      </c>
      <c r="D12" s="23" t="s">
        <v>811</v>
      </c>
      <c r="E12" s="24" t="s">
        <v>715</v>
      </c>
      <c r="F12" s="160" t="s">
        <v>884</v>
      </c>
      <c r="H12" t="s">
        <v>815</v>
      </c>
      <c r="I12" t="s">
        <v>741</v>
      </c>
      <c r="K12" t="s">
        <v>815</v>
      </c>
      <c r="L12" t="s">
        <v>741</v>
      </c>
    </row>
    <row r="13" spans="1:12" ht="15">
      <c r="A13" s="9"/>
      <c r="B13" s="122" t="s">
        <v>1030</v>
      </c>
      <c r="C13" s="9" t="s">
        <v>716</v>
      </c>
      <c r="D13" s="122" t="s">
        <v>921</v>
      </c>
      <c r="E13" s="9" t="s">
        <v>716</v>
      </c>
      <c r="F13" s="26"/>
      <c r="I13">
        <v>4</v>
      </c>
      <c r="L13">
        <v>4</v>
      </c>
    </row>
    <row r="14" spans="1:5" ht="15">
      <c r="A14" s="5" t="s">
        <v>686</v>
      </c>
      <c r="B14" s="123"/>
      <c r="C14" s="20"/>
      <c r="D14" s="123"/>
      <c r="E14" s="20"/>
    </row>
    <row r="15" spans="1:12" ht="15">
      <c r="A15" s="5" t="s">
        <v>633</v>
      </c>
      <c r="B15" s="119">
        <f>+I15</f>
        <v>579484.0154225</v>
      </c>
      <c r="C15" s="46">
        <f aca="true" t="shared" si="0" ref="C15:C31">+B15/$B$33</f>
        <v>0.08683266136981593</v>
      </c>
      <c r="D15" s="119">
        <f>+L15</f>
        <v>408546.2458825</v>
      </c>
      <c r="E15" s="46">
        <f aca="true" t="shared" si="1" ref="E15:E31">+D15/$D$33</f>
        <v>0.09173552061531094</v>
      </c>
      <c r="F15" s="58">
        <f aca="true" t="shared" si="2" ref="F15:F31">+(B15-D15)/D15</f>
        <v>0.4184049450038577</v>
      </c>
      <c r="H15" s="36">
        <v>2317936.06169</v>
      </c>
      <c r="I15" s="36">
        <f>+H15/$I$13</f>
        <v>579484.0154225</v>
      </c>
      <c r="K15" s="36">
        <v>1634184.98353</v>
      </c>
      <c r="L15" s="36">
        <f>+K15/$L$13</f>
        <v>408546.2458825</v>
      </c>
    </row>
    <row r="16" spans="1:12" ht="15">
      <c r="A16" s="5" t="s">
        <v>829</v>
      </c>
      <c r="B16" s="119">
        <f aca="true" t="shared" si="3" ref="B16:B31">+I16</f>
        <v>176736.775655</v>
      </c>
      <c r="C16" s="46">
        <f t="shared" si="0"/>
        <v>0.026483085268287583</v>
      </c>
      <c r="D16" s="119">
        <f aca="true" t="shared" si="4" ref="D16:D31">+L16</f>
        <v>116675.0797675</v>
      </c>
      <c r="E16" s="46">
        <f t="shared" si="1"/>
        <v>0.02619837850225371</v>
      </c>
      <c r="F16" s="58">
        <f t="shared" si="2"/>
        <v>0.514777414398908</v>
      </c>
      <c r="H16" s="36">
        <v>706947.10262</v>
      </c>
      <c r="I16" s="36">
        <f aca="true" t="shared" si="5" ref="I16:I31">+H16/$I$13</f>
        <v>176736.775655</v>
      </c>
      <c r="K16" s="36">
        <v>466700.31907</v>
      </c>
      <c r="L16" s="36">
        <f aca="true" t="shared" si="6" ref="L16:L31">+K16/$L$13</f>
        <v>116675.0797675</v>
      </c>
    </row>
    <row r="17" spans="1:12" ht="15">
      <c r="A17" s="5" t="s">
        <v>634</v>
      </c>
      <c r="B17" s="119">
        <f t="shared" si="3"/>
        <v>207218.162755</v>
      </c>
      <c r="C17" s="46">
        <f t="shared" si="0"/>
        <v>0.03105056235772346</v>
      </c>
      <c r="D17" s="119">
        <f t="shared" si="4"/>
        <v>0</v>
      </c>
      <c r="E17" s="46">
        <f t="shared" si="1"/>
        <v>0</v>
      </c>
      <c r="F17" s="124" t="s">
        <v>912</v>
      </c>
      <c r="H17" s="36">
        <v>828872.65102</v>
      </c>
      <c r="I17" s="36">
        <f t="shared" si="5"/>
        <v>207218.162755</v>
      </c>
      <c r="K17" s="36">
        <v>602257.91538</v>
      </c>
      <c r="L17" s="36">
        <v>0</v>
      </c>
    </row>
    <row r="18" spans="1:12" ht="15">
      <c r="A18" s="5" t="s">
        <v>812</v>
      </c>
      <c r="B18" s="119">
        <f t="shared" si="3"/>
        <v>1926188.2437525</v>
      </c>
      <c r="C18" s="46">
        <f t="shared" si="0"/>
        <v>0.28862927544659783</v>
      </c>
      <c r="D18" s="119">
        <f t="shared" si="4"/>
        <v>1359649.1996225</v>
      </c>
      <c r="E18" s="46">
        <f t="shared" si="1"/>
        <v>0.3052974502608288</v>
      </c>
      <c r="F18" s="58">
        <f t="shared" si="2"/>
        <v>0.4166803056900978</v>
      </c>
      <c r="H18" s="36">
        <v>7704752.97501</v>
      </c>
      <c r="I18" s="36">
        <f t="shared" si="5"/>
        <v>1926188.2437525</v>
      </c>
      <c r="K18" s="36">
        <v>5438596.79849</v>
      </c>
      <c r="L18" s="36">
        <f t="shared" si="6"/>
        <v>1359649.1996225</v>
      </c>
    </row>
    <row r="19" spans="1:12" ht="15">
      <c r="A19" s="5" t="s">
        <v>1055</v>
      </c>
      <c r="B19" s="119">
        <f t="shared" si="3"/>
        <v>161848.2085275</v>
      </c>
      <c r="C19" s="46">
        <f t="shared" si="0"/>
        <v>0.02425211103387079</v>
      </c>
      <c r="D19" s="119">
        <f t="shared" si="4"/>
        <v>113455.560515</v>
      </c>
      <c r="E19" s="46">
        <f t="shared" si="1"/>
        <v>0.025475463342132406</v>
      </c>
      <c r="F19" s="58">
        <f t="shared" si="2"/>
        <v>0.426533946796746</v>
      </c>
      <c r="H19" s="36">
        <v>647392.83411</v>
      </c>
      <c r="I19" s="36">
        <f t="shared" si="5"/>
        <v>161848.2085275</v>
      </c>
      <c r="K19" s="36">
        <v>453822.24206</v>
      </c>
      <c r="L19" s="36">
        <f t="shared" si="6"/>
        <v>113455.560515</v>
      </c>
    </row>
    <row r="20" spans="1:12" ht="15">
      <c r="A20" s="5" t="s">
        <v>814</v>
      </c>
      <c r="B20" s="119">
        <f t="shared" si="3"/>
        <v>119065.213815</v>
      </c>
      <c r="C20" s="46">
        <f t="shared" si="0"/>
        <v>0.017841302118721383</v>
      </c>
      <c r="D20" s="119">
        <f t="shared" si="4"/>
        <v>74915.4990125</v>
      </c>
      <c r="E20" s="46">
        <f t="shared" si="1"/>
        <v>0.016821626372364323</v>
      </c>
      <c r="F20" s="58">
        <f t="shared" si="2"/>
        <v>0.5893268467067596</v>
      </c>
      <c r="H20" s="36">
        <v>476260.85526</v>
      </c>
      <c r="I20" s="36">
        <f t="shared" si="5"/>
        <v>119065.213815</v>
      </c>
      <c r="K20" s="36">
        <v>299661.99605</v>
      </c>
      <c r="L20" s="36">
        <f t="shared" si="6"/>
        <v>74915.4990125</v>
      </c>
    </row>
    <row r="21" spans="1:12" ht="15">
      <c r="A21" s="5" t="s">
        <v>830</v>
      </c>
      <c r="B21" s="119">
        <f t="shared" si="3"/>
        <v>94861.2548525</v>
      </c>
      <c r="C21" s="46">
        <f t="shared" si="0"/>
        <v>0.014214464938635676</v>
      </c>
      <c r="D21" s="119">
        <f t="shared" si="4"/>
        <v>68074.7398825</v>
      </c>
      <c r="E21" s="46">
        <f t="shared" si="1"/>
        <v>0.015285593165550873</v>
      </c>
      <c r="F21" s="58">
        <f t="shared" si="2"/>
        <v>0.39348685013317286</v>
      </c>
      <c r="H21" s="36">
        <v>379445.01941</v>
      </c>
      <c r="I21" s="36">
        <f t="shared" si="5"/>
        <v>94861.2548525</v>
      </c>
      <c r="K21" s="36">
        <v>272298.95953</v>
      </c>
      <c r="L21" s="36">
        <f t="shared" si="6"/>
        <v>68074.7398825</v>
      </c>
    </row>
    <row r="22" spans="1:12" ht="15">
      <c r="A22" s="5" t="s">
        <v>1061</v>
      </c>
      <c r="B22" s="119">
        <f t="shared" si="3"/>
        <v>107448.953685</v>
      </c>
      <c r="C22" s="46">
        <f t="shared" si="0"/>
        <v>0.01610066604351133</v>
      </c>
      <c r="D22" s="119">
        <f t="shared" si="4"/>
        <v>67246.290745</v>
      </c>
      <c r="E22" s="46">
        <f t="shared" si="1"/>
        <v>0.01509957208789367</v>
      </c>
      <c r="F22" s="58">
        <f t="shared" si="2"/>
        <v>0.5978420890521638</v>
      </c>
      <c r="H22" s="36">
        <v>429795.81474</v>
      </c>
      <c r="I22" s="36">
        <f t="shared" si="5"/>
        <v>107448.953685</v>
      </c>
      <c r="K22" s="36">
        <v>268985.16298</v>
      </c>
      <c r="L22" s="36">
        <f>+K22/$L$13</f>
        <v>67246.290745</v>
      </c>
    </row>
    <row r="23" spans="1:12" ht="15">
      <c r="A23" s="5" t="s">
        <v>957</v>
      </c>
      <c r="B23" s="119">
        <f t="shared" si="3"/>
        <v>1462185.875525</v>
      </c>
      <c r="C23" s="46">
        <f t="shared" si="0"/>
        <v>0.2191009374031137</v>
      </c>
      <c r="D23" s="119">
        <f t="shared" si="4"/>
        <v>1017666.589135</v>
      </c>
      <c r="E23" s="46">
        <f t="shared" si="1"/>
        <v>0.22850821738784666</v>
      </c>
      <c r="F23" s="58">
        <f t="shared" si="2"/>
        <v>0.4368024765044455</v>
      </c>
      <c r="H23" s="36">
        <v>5848743.5021</v>
      </c>
      <c r="I23" s="36">
        <f t="shared" si="5"/>
        <v>1462185.875525</v>
      </c>
      <c r="K23" s="36">
        <v>4070666.35654</v>
      </c>
      <c r="L23" s="36">
        <f>+K23/$L$13</f>
        <v>1017666.589135</v>
      </c>
    </row>
    <row r="24" spans="1:12" ht="15">
      <c r="A24" s="5" t="s">
        <v>1056</v>
      </c>
      <c r="B24" s="119">
        <f t="shared" si="3"/>
        <v>47823.1061225</v>
      </c>
      <c r="C24" s="46">
        <f t="shared" si="0"/>
        <v>0.007166043357658728</v>
      </c>
      <c r="D24" s="119">
        <f t="shared" si="4"/>
        <v>26865.9959075</v>
      </c>
      <c r="E24" s="46">
        <f t="shared" si="1"/>
        <v>0.006032526663167889</v>
      </c>
      <c r="F24" s="58">
        <f t="shared" si="2"/>
        <v>0.7800607983100878</v>
      </c>
      <c r="H24" s="36">
        <v>191292.42449</v>
      </c>
      <c r="I24" s="36">
        <f t="shared" si="5"/>
        <v>47823.1061225</v>
      </c>
      <c r="K24" s="36">
        <v>107463.98363</v>
      </c>
      <c r="L24" s="36">
        <f>+K24/$L$13</f>
        <v>26865.9959075</v>
      </c>
    </row>
    <row r="25" spans="1:12" ht="15">
      <c r="A25" s="5" t="s">
        <v>1062</v>
      </c>
      <c r="B25" s="119">
        <f t="shared" si="3"/>
        <v>111710.3677875</v>
      </c>
      <c r="C25" s="46">
        <f t="shared" si="0"/>
        <v>0.016739216750469403</v>
      </c>
      <c r="D25" s="119">
        <f t="shared" si="4"/>
        <v>79960.0593925</v>
      </c>
      <c r="E25" s="46">
        <f t="shared" si="1"/>
        <v>0.0179543387088467</v>
      </c>
      <c r="F25" s="58">
        <f t="shared" si="2"/>
        <v>0.3970770986943274</v>
      </c>
      <c r="H25" s="36">
        <v>446841.47115</v>
      </c>
      <c r="I25" s="36">
        <f t="shared" si="5"/>
        <v>111710.3677875</v>
      </c>
      <c r="K25" s="36">
        <v>319840.23757</v>
      </c>
      <c r="L25" s="36">
        <f>+K25/$L$13</f>
        <v>79960.0593925</v>
      </c>
    </row>
    <row r="26" spans="1:12" ht="15">
      <c r="A26" s="5" t="s">
        <v>635</v>
      </c>
      <c r="B26" s="119">
        <f t="shared" si="3"/>
        <v>135661.0779425</v>
      </c>
      <c r="C26" s="46">
        <f t="shared" si="0"/>
        <v>0.02032810591584081</v>
      </c>
      <c r="D26" s="119">
        <f t="shared" si="4"/>
        <v>0</v>
      </c>
      <c r="E26" s="46">
        <f t="shared" si="1"/>
        <v>0</v>
      </c>
      <c r="F26" s="124" t="s">
        <v>912</v>
      </c>
      <c r="H26" s="36">
        <v>542644.31177</v>
      </c>
      <c r="I26" s="36">
        <f t="shared" si="5"/>
        <v>135661.0779425</v>
      </c>
      <c r="K26" s="36">
        <v>399017.99569</v>
      </c>
      <c r="L26" s="36">
        <v>0</v>
      </c>
    </row>
    <row r="27" spans="1:12" ht="15">
      <c r="A27" s="5" t="s">
        <v>636</v>
      </c>
      <c r="B27" s="119">
        <f t="shared" si="3"/>
        <v>27041.125345</v>
      </c>
      <c r="C27" s="46">
        <f t="shared" si="0"/>
        <v>0.0040519717846387426</v>
      </c>
      <c r="D27" s="119">
        <f t="shared" si="4"/>
        <v>19284.695885</v>
      </c>
      <c r="E27" s="46">
        <f t="shared" si="1"/>
        <v>0.0043302114136357026</v>
      </c>
      <c r="F27" s="58">
        <f t="shared" si="2"/>
        <v>0.4022064701592259</v>
      </c>
      <c r="H27" s="36">
        <v>108164.50138</v>
      </c>
      <c r="I27" s="36">
        <f t="shared" si="5"/>
        <v>27041.125345</v>
      </c>
      <c r="K27" s="36">
        <v>77138.78354</v>
      </c>
      <c r="L27" s="36">
        <f t="shared" si="6"/>
        <v>19284.695885</v>
      </c>
    </row>
    <row r="28" spans="1:12" ht="15">
      <c r="A28" s="5" t="s">
        <v>1057</v>
      </c>
      <c r="B28" s="119">
        <f t="shared" si="3"/>
        <v>935854.93198</v>
      </c>
      <c r="C28" s="46">
        <f t="shared" si="0"/>
        <v>0.14023298699730832</v>
      </c>
      <c r="D28" s="119">
        <f t="shared" si="4"/>
        <v>681004.2141075</v>
      </c>
      <c r="E28" s="46">
        <f t="shared" si="1"/>
        <v>0.1529135973026161</v>
      </c>
      <c r="F28" s="58">
        <f t="shared" si="2"/>
        <v>0.3742278132691121</v>
      </c>
      <c r="H28" s="36">
        <v>3743419.72792</v>
      </c>
      <c r="I28" s="36">
        <f t="shared" si="5"/>
        <v>935854.93198</v>
      </c>
      <c r="K28" s="36">
        <v>2724016.85643</v>
      </c>
      <c r="L28" s="36">
        <f t="shared" si="6"/>
        <v>681004.2141075</v>
      </c>
    </row>
    <row r="29" spans="1:12" ht="15">
      <c r="A29" s="5" t="s">
        <v>1058</v>
      </c>
      <c r="B29" s="119">
        <f t="shared" si="3"/>
        <v>194348.2977375</v>
      </c>
      <c r="C29" s="46">
        <f t="shared" si="0"/>
        <v>0.029122080119736212</v>
      </c>
      <c r="D29" s="119">
        <f t="shared" si="4"/>
        <v>139303.239705</v>
      </c>
      <c r="E29" s="46">
        <f t="shared" si="1"/>
        <v>0.031279335807219616</v>
      </c>
      <c r="F29" s="58">
        <f t="shared" si="2"/>
        <v>0.39514556983073695</v>
      </c>
      <c r="H29" s="36">
        <v>777393.19095</v>
      </c>
      <c r="I29" s="36">
        <f t="shared" si="5"/>
        <v>194348.2977375</v>
      </c>
      <c r="K29" s="36">
        <v>557212.95882</v>
      </c>
      <c r="L29" s="36">
        <f>+K29/$L$13</f>
        <v>139303.239705</v>
      </c>
    </row>
    <row r="30" spans="1:12" ht="15">
      <c r="A30" s="5" t="s">
        <v>813</v>
      </c>
      <c r="B30" s="119">
        <f t="shared" si="3"/>
        <v>160190.034225</v>
      </c>
      <c r="C30" s="46">
        <f t="shared" si="0"/>
        <v>0.024003642251524595</v>
      </c>
      <c r="D30" s="119">
        <f t="shared" si="4"/>
        <v>107990.2563975</v>
      </c>
      <c r="E30" s="46">
        <f t="shared" si="1"/>
        <v>0.02424827664394877</v>
      </c>
      <c r="F30" s="58">
        <f t="shared" si="2"/>
        <v>0.48337488555780905</v>
      </c>
      <c r="H30" s="36">
        <v>640760.1369</v>
      </c>
      <c r="I30" s="36">
        <f t="shared" si="5"/>
        <v>160190.034225</v>
      </c>
      <c r="K30" s="36">
        <v>431961.02559</v>
      </c>
      <c r="L30" s="36">
        <f t="shared" si="6"/>
        <v>107990.2563975</v>
      </c>
    </row>
    <row r="31" spans="1:12" ht="15">
      <c r="A31" s="5" t="s">
        <v>706</v>
      </c>
      <c r="B31" s="119">
        <f t="shared" si="3"/>
        <v>225906.3297575</v>
      </c>
      <c r="C31" s="46">
        <f t="shared" si="0"/>
        <v>0.03385088684254555</v>
      </c>
      <c r="D31" s="119">
        <f t="shared" si="4"/>
        <v>172885.278505</v>
      </c>
      <c r="E31" s="46">
        <f t="shared" si="1"/>
        <v>0.03881989172638375</v>
      </c>
      <c r="F31" s="58">
        <f t="shared" si="2"/>
        <v>0.306683436039157</v>
      </c>
      <c r="H31" s="36">
        <v>903625.31903</v>
      </c>
      <c r="I31" s="36">
        <f t="shared" si="5"/>
        <v>225906.3297575</v>
      </c>
      <c r="K31" s="36">
        <v>691541.11402</v>
      </c>
      <c r="L31" s="36">
        <f t="shared" si="6"/>
        <v>172885.278505</v>
      </c>
    </row>
    <row r="32" spans="1:12" ht="15">
      <c r="A32" s="5"/>
      <c r="B32" s="119"/>
      <c r="C32" s="46"/>
      <c r="D32" s="119"/>
      <c r="E32" s="48"/>
      <c r="F32" s="127"/>
      <c r="H32" s="36"/>
      <c r="I32" s="36"/>
      <c r="K32" s="36"/>
      <c r="L32" s="36"/>
    </row>
    <row r="33" spans="1:12" ht="14.25">
      <c r="A33" s="13" t="s">
        <v>674</v>
      </c>
      <c r="B33" s="121">
        <f>SUM(B15:B32)</f>
        <v>6673571.9748875</v>
      </c>
      <c r="C33" s="16">
        <f>SUM(C15:C31)</f>
        <v>1</v>
      </c>
      <c r="D33" s="121">
        <f>SUM(D15:D31)</f>
        <v>4453522.9444625005</v>
      </c>
      <c r="E33" s="16">
        <f>SUM(E15:E31)</f>
        <v>0.9999999999999999</v>
      </c>
      <c r="F33" s="16">
        <f>+(B33-D33)/D33</f>
        <v>0.4984927793367277</v>
      </c>
      <c r="H33" s="90">
        <f>SUM(H15:H31)</f>
        <v>26694287.89955</v>
      </c>
      <c r="I33" s="90">
        <f>SUM(I15:I31)</f>
        <v>6673571.9748875</v>
      </c>
      <c r="K33" s="90">
        <f>SUM(K15:K31)</f>
        <v>18815367.68892</v>
      </c>
      <c r="L33" s="90">
        <f>SUM(L15:L31)</f>
        <v>4453522.9444625005</v>
      </c>
    </row>
    <row r="34" spans="1:11" ht="15">
      <c r="A34" s="47"/>
      <c r="B34" s="50"/>
      <c r="C34" s="51"/>
      <c r="D34" s="52"/>
      <c r="E34" s="52"/>
      <c r="H34" s="36"/>
      <c r="I34" s="36"/>
      <c r="K34" s="36"/>
    </row>
    <row r="35" spans="1:5" ht="12.75">
      <c r="A35" s="69" t="s">
        <v>657</v>
      </c>
      <c r="B35" s="18"/>
      <c r="C35" s="18"/>
      <c r="D35" s="125"/>
      <c r="E35" s="18"/>
    </row>
    <row r="36" spans="1:5" ht="12.75">
      <c r="A36" s="69"/>
      <c r="B36" s="18"/>
      <c r="C36" s="18"/>
      <c r="D36" s="125"/>
      <c r="E36" s="18"/>
    </row>
    <row r="37" spans="1:12" ht="12.75">
      <c r="A37" s="172" t="s">
        <v>1065</v>
      </c>
      <c r="B37" s="66"/>
      <c r="C37" s="66"/>
      <c r="D37" s="66"/>
      <c r="E37" s="133"/>
      <c r="F37" s="66"/>
      <c r="I37" s="36"/>
      <c r="J37" s="36"/>
      <c r="K37" s="36"/>
      <c r="L37" s="36"/>
    </row>
    <row r="38" spans="1:12" ht="12.75">
      <c r="A38" s="172" t="s">
        <v>1066</v>
      </c>
      <c r="B38" s="66"/>
      <c r="C38" s="66"/>
      <c r="D38" s="66"/>
      <c r="E38" s="133"/>
      <c r="F38" s="66"/>
      <c r="I38" s="36"/>
      <c r="J38" s="36"/>
      <c r="K38" s="36"/>
      <c r="L38" s="36"/>
    </row>
    <row r="39" spans="1:4" ht="12.75">
      <c r="A39" s="34"/>
      <c r="B39" s="36"/>
      <c r="D39" s="126"/>
    </row>
    <row r="40" spans="1:4" ht="12.75">
      <c r="A40" s="34"/>
      <c r="B40" s="36"/>
      <c r="D40" s="126"/>
    </row>
    <row r="41" spans="1:4" ht="12.75">
      <c r="A41" s="80">
        <v>1999</v>
      </c>
      <c r="B41" s="36">
        <v>568.909</v>
      </c>
      <c r="D41" s="126"/>
    </row>
    <row r="42" spans="1:4" ht="12.75">
      <c r="A42">
        <v>2000</v>
      </c>
      <c r="B42" s="36">
        <v>2481.035</v>
      </c>
      <c r="D42" s="126"/>
    </row>
    <row r="43" spans="1:4" ht="12.75">
      <c r="A43">
        <v>2001</v>
      </c>
      <c r="B43" s="36">
        <v>4453.5229444625</v>
      </c>
      <c r="D43" s="126"/>
    </row>
    <row r="44" spans="1:4" ht="12.75">
      <c r="A44">
        <v>2002</v>
      </c>
      <c r="B44" s="36">
        <v>6673.5719748875</v>
      </c>
      <c r="D44" s="126"/>
    </row>
    <row r="45" ht="12.75">
      <c r="D45" s="126"/>
    </row>
    <row r="46" ht="12.75">
      <c r="D46" s="126"/>
    </row>
    <row r="47" ht="12.75">
      <c r="D47" s="126"/>
    </row>
    <row r="48" ht="12.75">
      <c r="D48" s="126"/>
    </row>
    <row r="49" ht="12.75">
      <c r="D49" s="126"/>
    </row>
    <row r="50" ht="12.75">
      <c r="D50" s="126"/>
    </row>
    <row r="51" ht="12.75">
      <c r="D51" s="126"/>
    </row>
    <row r="52" ht="12.75">
      <c r="D52" s="126"/>
    </row>
    <row r="53" ht="12.75">
      <c r="D53" s="126"/>
    </row>
    <row r="54" ht="12.75">
      <c r="D54" s="126"/>
    </row>
    <row r="55" ht="12.75">
      <c r="D55" s="126"/>
    </row>
    <row r="56" ht="12.75">
      <c r="D56" s="126"/>
    </row>
    <row r="57" ht="12.75">
      <c r="D57" s="126"/>
    </row>
    <row r="58" ht="12.75">
      <c r="D58" s="126"/>
    </row>
    <row r="59" ht="12.75">
      <c r="D59" s="126"/>
    </row>
    <row r="60" ht="12.75">
      <c r="D60" s="126"/>
    </row>
    <row r="61" ht="12.75">
      <c r="D61" s="126"/>
    </row>
    <row r="62" ht="12.75">
      <c r="D62" s="126"/>
    </row>
    <row r="63" ht="12.75">
      <c r="D63" s="126"/>
    </row>
    <row r="64" ht="12.75">
      <c r="D64" s="126"/>
    </row>
    <row r="65" ht="12.75">
      <c r="D65" s="126"/>
    </row>
    <row r="66" ht="12.75">
      <c r="D66" s="126"/>
    </row>
    <row r="67" ht="12.75">
      <c r="D67" s="126"/>
    </row>
    <row r="68" ht="12.75">
      <c r="D68" s="126"/>
    </row>
    <row r="69" ht="12.75">
      <c r="D69" s="126"/>
    </row>
    <row r="70" ht="12.75">
      <c r="D70" s="126"/>
    </row>
    <row r="71" ht="12.75">
      <c r="D71" s="126"/>
    </row>
    <row r="72" ht="12.75">
      <c r="D72" s="126"/>
    </row>
    <row r="73" ht="12.75">
      <c r="D73" s="126"/>
    </row>
    <row r="74" ht="12.75">
      <c r="D74" s="126"/>
    </row>
    <row r="75" ht="12.75">
      <c r="D75" s="126"/>
    </row>
    <row r="76" ht="12.75">
      <c r="D76" s="126"/>
    </row>
    <row r="77" ht="12.75">
      <c r="D77" s="126"/>
    </row>
    <row r="78" ht="12.75">
      <c r="D78" s="126"/>
    </row>
    <row r="79" ht="12.75">
      <c r="D79" s="126"/>
    </row>
    <row r="80" ht="12.75">
      <c r="D80" s="126"/>
    </row>
    <row r="81" ht="12.75">
      <c r="D81" s="126"/>
    </row>
    <row r="82" ht="12.75">
      <c r="D82" s="126"/>
    </row>
    <row r="83" ht="12.75">
      <c r="D83" s="126"/>
    </row>
    <row r="84" ht="12.75">
      <c r="D84" s="126"/>
    </row>
    <row r="85" ht="12.75">
      <c r="D85" s="126"/>
    </row>
    <row r="86" ht="12.75">
      <c r="D86" s="126"/>
    </row>
    <row r="87" ht="12.75">
      <c r="D87" s="126"/>
    </row>
    <row r="88" ht="12.75">
      <c r="D88" s="126"/>
    </row>
    <row r="89" ht="12.75">
      <c r="D89" s="126"/>
    </row>
    <row r="90" ht="12.75">
      <c r="D90" s="126"/>
    </row>
    <row r="91" ht="12.75">
      <c r="D91" s="126"/>
    </row>
    <row r="92" ht="12.75">
      <c r="D92" s="126"/>
    </row>
    <row r="93" ht="12.75">
      <c r="D93" s="126"/>
    </row>
    <row r="94" ht="12.75">
      <c r="D94" s="126"/>
    </row>
    <row r="95" ht="12.75">
      <c r="D95" s="126"/>
    </row>
    <row r="96" ht="12.75">
      <c r="D96" s="126"/>
    </row>
    <row r="97" ht="12.75">
      <c r="D97" s="126"/>
    </row>
    <row r="98" ht="12.75">
      <c r="D98" s="126"/>
    </row>
    <row r="99" ht="12.75">
      <c r="D99" s="126"/>
    </row>
    <row r="100" ht="12.75">
      <c r="D100" s="126"/>
    </row>
    <row r="101" ht="12.75">
      <c r="D101" s="126"/>
    </row>
    <row r="102" ht="12.75">
      <c r="D102" s="126"/>
    </row>
    <row r="103" ht="12.75">
      <c r="D103" s="126"/>
    </row>
    <row r="104" ht="12.75">
      <c r="D104" s="126"/>
    </row>
    <row r="105" ht="12.75">
      <c r="D105" s="126"/>
    </row>
    <row r="106" ht="12.75">
      <c r="D106" s="126"/>
    </row>
    <row r="107" ht="12.75">
      <c r="D107" s="126"/>
    </row>
    <row r="108" ht="12.75">
      <c r="D108" s="126"/>
    </row>
    <row r="109" ht="12.75">
      <c r="D109" s="126"/>
    </row>
    <row r="110" ht="12.75">
      <c r="D110" s="126"/>
    </row>
    <row r="111" ht="12.75">
      <c r="D111" s="126"/>
    </row>
    <row r="112" ht="12.75">
      <c r="D112" s="126"/>
    </row>
    <row r="113" ht="12.75">
      <c r="D113" s="126"/>
    </row>
    <row r="114" ht="12.75">
      <c r="D114" s="126"/>
    </row>
    <row r="115" ht="12.75">
      <c r="D115" s="126"/>
    </row>
    <row r="116" ht="12.75">
      <c r="D116" s="126"/>
    </row>
    <row r="117" ht="12.75">
      <c r="D117" s="126"/>
    </row>
    <row r="118" ht="12.75">
      <c r="D118" s="126"/>
    </row>
    <row r="119" ht="12.75">
      <c r="D119" s="126"/>
    </row>
    <row r="120" ht="12.75">
      <c r="D120" s="126"/>
    </row>
    <row r="121" ht="12.75">
      <c r="D121" s="126"/>
    </row>
    <row r="122" ht="12.75">
      <c r="D122" s="126"/>
    </row>
    <row r="123" ht="12.75">
      <c r="D123" s="126"/>
    </row>
    <row r="124" ht="12.75">
      <c r="D124" s="126"/>
    </row>
    <row r="125" ht="12.75">
      <c r="D125" s="126"/>
    </row>
    <row r="126" ht="12.75">
      <c r="D126" s="126"/>
    </row>
    <row r="127" ht="12.75">
      <c r="D127" s="126"/>
    </row>
    <row r="128" ht="12.75">
      <c r="D128" s="126"/>
    </row>
    <row r="129" ht="12.75">
      <c r="D129" s="126"/>
    </row>
    <row r="130" ht="12.75">
      <c r="D130" s="126"/>
    </row>
    <row r="131" ht="12.75">
      <c r="D131" s="126"/>
    </row>
    <row r="132" ht="12.75">
      <c r="D132" s="126"/>
    </row>
    <row r="133" ht="12.75">
      <c r="D133" s="126"/>
    </row>
    <row r="134" ht="12.75">
      <c r="D134" s="126"/>
    </row>
    <row r="135" ht="12.75">
      <c r="D135" s="126"/>
    </row>
    <row r="136" ht="12.75">
      <c r="D136" s="126"/>
    </row>
    <row r="137" ht="12.75">
      <c r="D137" s="126"/>
    </row>
    <row r="138" ht="12.75">
      <c r="D138" s="126"/>
    </row>
    <row r="139" ht="12.75">
      <c r="D139" s="126"/>
    </row>
    <row r="140" ht="12.75">
      <c r="D140" s="126"/>
    </row>
    <row r="141" ht="12.75">
      <c r="D141" s="126"/>
    </row>
    <row r="142" ht="12.75">
      <c r="D142" s="126"/>
    </row>
    <row r="143" ht="12.75">
      <c r="D143" s="126"/>
    </row>
    <row r="144" ht="12.75">
      <c r="D144" s="126"/>
    </row>
    <row r="145" ht="12.75">
      <c r="D145" s="126"/>
    </row>
    <row r="146" ht="12.75">
      <c r="D146" s="126"/>
    </row>
    <row r="147" ht="12.75">
      <c r="D147" s="126"/>
    </row>
    <row r="148" ht="12.75">
      <c r="D148" s="126"/>
    </row>
    <row r="149" ht="12.75">
      <c r="D149" s="126"/>
    </row>
    <row r="150" ht="12.75">
      <c r="D150" s="126"/>
    </row>
    <row r="151" ht="12.75">
      <c r="D151" s="126"/>
    </row>
    <row r="152" ht="12.75">
      <c r="D152" s="126"/>
    </row>
    <row r="153" ht="12.75">
      <c r="D153" s="126"/>
    </row>
    <row r="154" ht="12.75">
      <c r="D154" s="126"/>
    </row>
    <row r="155" ht="12.75">
      <c r="D155" s="126"/>
    </row>
    <row r="156" ht="12.75">
      <c r="D156" s="126"/>
    </row>
    <row r="157" ht="12.75">
      <c r="D157" s="126"/>
    </row>
    <row r="158" ht="12.75">
      <c r="D158" s="126"/>
    </row>
    <row r="159" ht="12.75">
      <c r="D159" s="126"/>
    </row>
    <row r="160" ht="12.75">
      <c r="D160" s="126"/>
    </row>
    <row r="161" ht="12.75">
      <c r="D161" s="126"/>
    </row>
    <row r="162" ht="12.75">
      <c r="D162" s="126"/>
    </row>
    <row r="163" ht="12.75">
      <c r="D163" s="126"/>
    </row>
    <row r="164" ht="12.75">
      <c r="D164" s="126"/>
    </row>
    <row r="165" ht="12.75">
      <c r="D165" s="126"/>
    </row>
    <row r="166" ht="12.75">
      <c r="D166" s="126"/>
    </row>
    <row r="167" ht="12.75">
      <c r="D167" s="126"/>
    </row>
    <row r="168" ht="12.75">
      <c r="D168" s="126"/>
    </row>
    <row r="169" ht="12.75">
      <c r="D169" s="126"/>
    </row>
    <row r="170" ht="12.75">
      <c r="D170" s="126"/>
    </row>
    <row r="171" ht="12.75">
      <c r="D171" s="126"/>
    </row>
    <row r="172" ht="12.75">
      <c r="D172" s="126"/>
    </row>
    <row r="173" ht="12.75">
      <c r="D173" s="126"/>
    </row>
    <row r="174" ht="12.75">
      <c r="D174" s="126"/>
    </row>
    <row r="175" ht="12.75">
      <c r="D175" s="126"/>
    </row>
    <row r="176" ht="12.75">
      <c r="D176" s="126"/>
    </row>
    <row r="177" ht="12.75">
      <c r="D177" s="126"/>
    </row>
    <row r="178" ht="12.75">
      <c r="D178" s="126"/>
    </row>
    <row r="179" ht="12.75">
      <c r="D179" s="126"/>
    </row>
    <row r="180" ht="12.75">
      <c r="D180" s="126"/>
    </row>
    <row r="181" ht="12.75">
      <c r="D181" s="126"/>
    </row>
    <row r="182" ht="12.75">
      <c r="D182" s="126"/>
    </row>
    <row r="183" ht="12.75">
      <c r="D183" s="126"/>
    </row>
    <row r="184" ht="12.75">
      <c r="D184" s="126"/>
    </row>
    <row r="185" ht="12.75">
      <c r="D185" s="126"/>
    </row>
    <row r="186" ht="12.75">
      <c r="D186" s="126"/>
    </row>
    <row r="187" ht="12.75">
      <c r="D187" s="126"/>
    </row>
    <row r="188" ht="12.75">
      <c r="D188" s="126"/>
    </row>
    <row r="189" ht="12.75">
      <c r="D189" s="126"/>
    </row>
    <row r="190" ht="12.75">
      <c r="D190" s="126"/>
    </row>
    <row r="191" ht="12.75">
      <c r="D191" s="126"/>
    </row>
    <row r="192" ht="12.75">
      <c r="D192" s="126"/>
    </row>
    <row r="193" ht="12.75">
      <c r="D193" s="126"/>
    </row>
    <row r="194" ht="12.75">
      <c r="D194" s="126"/>
    </row>
    <row r="195" ht="12.75">
      <c r="D195" s="126"/>
    </row>
    <row r="196" ht="12.75">
      <c r="D196" s="126"/>
    </row>
    <row r="197" ht="12.75">
      <c r="D197" s="126"/>
    </row>
    <row r="198" ht="12.75">
      <c r="D198" s="126"/>
    </row>
    <row r="199" ht="12.75">
      <c r="D199" s="126"/>
    </row>
    <row r="200" ht="12.75">
      <c r="D200" s="126"/>
    </row>
    <row r="201" ht="12.75">
      <c r="D201" s="126"/>
    </row>
    <row r="202" ht="12.75">
      <c r="D202" s="126"/>
    </row>
    <row r="203" ht="12.75">
      <c r="D203" s="126"/>
    </row>
    <row r="204" ht="12.75">
      <c r="D204" s="126"/>
    </row>
    <row r="205" ht="12.75">
      <c r="D205" s="126"/>
    </row>
    <row r="206" ht="12.75">
      <c r="D206" s="126"/>
    </row>
    <row r="207" ht="12.75">
      <c r="D207" s="126"/>
    </row>
    <row r="208" ht="12.75">
      <c r="D208" s="126"/>
    </row>
    <row r="209" ht="12.75">
      <c r="D209" s="126"/>
    </row>
    <row r="210" ht="12.75">
      <c r="D210" s="126"/>
    </row>
    <row r="211" ht="12.75">
      <c r="D211" s="126"/>
    </row>
    <row r="212" ht="12.75">
      <c r="D212" s="126"/>
    </row>
    <row r="213" ht="12.75">
      <c r="D213" s="126"/>
    </row>
    <row r="214" ht="12.75">
      <c r="D214" s="126"/>
    </row>
    <row r="215" ht="12.75">
      <c r="D215" s="126"/>
    </row>
    <row r="216" ht="12.75">
      <c r="D216" s="126"/>
    </row>
    <row r="217" ht="12.75">
      <c r="D217" s="126"/>
    </row>
    <row r="218" ht="12.75">
      <c r="D218" s="126"/>
    </row>
    <row r="219" ht="12.75">
      <c r="D219" s="126"/>
    </row>
    <row r="220" ht="12.75">
      <c r="D220" s="126"/>
    </row>
    <row r="221" ht="12.75">
      <c r="D221" s="126"/>
    </row>
    <row r="222" ht="12.75">
      <c r="D222" s="126"/>
    </row>
    <row r="223" ht="12.75">
      <c r="D223" s="126"/>
    </row>
    <row r="224" ht="12.75">
      <c r="D224" s="126"/>
    </row>
    <row r="225" ht="12.75">
      <c r="D225" s="126"/>
    </row>
    <row r="226" ht="12.75">
      <c r="D226" s="126"/>
    </row>
    <row r="227" ht="12.75">
      <c r="D227" s="126"/>
    </row>
    <row r="228" ht="12.75">
      <c r="D228" s="126"/>
    </row>
    <row r="229" ht="12.75">
      <c r="D229" s="126"/>
    </row>
    <row r="230" ht="12.75">
      <c r="D230" s="126"/>
    </row>
    <row r="231" ht="12.75">
      <c r="D231" s="126"/>
    </row>
    <row r="232" ht="12.75">
      <c r="D232" s="126"/>
    </row>
    <row r="233" ht="12.75">
      <c r="D233" s="126"/>
    </row>
    <row r="234" ht="12.75">
      <c r="D234" s="126"/>
    </row>
    <row r="235" ht="12.75">
      <c r="D235" s="126"/>
    </row>
    <row r="236" ht="12.75">
      <c r="D236" s="126"/>
    </row>
    <row r="237" ht="12.75">
      <c r="D237" s="126"/>
    </row>
    <row r="238" ht="12.75">
      <c r="D238" s="126"/>
    </row>
    <row r="239" ht="12.75">
      <c r="D239" s="126"/>
    </row>
    <row r="240" ht="12.75">
      <c r="D240" s="126"/>
    </row>
    <row r="241" ht="12.75">
      <c r="D241" s="126"/>
    </row>
    <row r="242" ht="12.75">
      <c r="D242" s="126"/>
    </row>
    <row r="243" ht="12.75">
      <c r="D243" s="126"/>
    </row>
    <row r="244" ht="12.75">
      <c r="D244" s="126"/>
    </row>
    <row r="245" ht="12.75">
      <c r="D245" s="126"/>
    </row>
    <row r="246" ht="12.75">
      <c r="D246" s="126"/>
    </row>
    <row r="247" ht="12.75">
      <c r="D247" s="126"/>
    </row>
    <row r="248" ht="12.75">
      <c r="D248" s="126"/>
    </row>
    <row r="249" ht="12.75">
      <c r="D249" s="126"/>
    </row>
    <row r="250" ht="12.75">
      <c r="D250" s="126"/>
    </row>
    <row r="251" ht="12.75">
      <c r="D251" s="126"/>
    </row>
    <row r="252" ht="12.75">
      <c r="D252" s="126"/>
    </row>
    <row r="253" ht="12.75">
      <c r="D253" s="126"/>
    </row>
    <row r="254" ht="12.75">
      <c r="D254" s="126"/>
    </row>
    <row r="255" ht="12.75">
      <c r="D255" s="126"/>
    </row>
    <row r="256" ht="12.75">
      <c r="D256" s="126"/>
    </row>
    <row r="257" ht="12.75">
      <c r="D257" s="126"/>
    </row>
    <row r="258" ht="12.75">
      <c r="D258" s="126"/>
    </row>
    <row r="259" ht="12.75">
      <c r="D259" s="126"/>
    </row>
    <row r="260" ht="12.75">
      <c r="D260" s="126"/>
    </row>
    <row r="261" ht="12.75">
      <c r="D261" s="126"/>
    </row>
    <row r="262" ht="12.75">
      <c r="D262" s="126"/>
    </row>
    <row r="263" ht="12.75">
      <c r="D263" s="126"/>
    </row>
    <row r="264" ht="12.75">
      <c r="D264" s="126"/>
    </row>
    <row r="265" ht="12.75">
      <c r="D265" s="126"/>
    </row>
    <row r="266" ht="12.75">
      <c r="D266" s="126"/>
    </row>
    <row r="267" ht="12.75">
      <c r="D267" s="126"/>
    </row>
    <row r="268" ht="12.75">
      <c r="D268" s="126"/>
    </row>
    <row r="269" ht="12.75">
      <c r="D269" s="126"/>
    </row>
    <row r="270" ht="12.75">
      <c r="D270" s="126"/>
    </row>
    <row r="271" ht="12.75">
      <c r="D271" s="126"/>
    </row>
    <row r="272" ht="12.75">
      <c r="D272" s="126"/>
    </row>
    <row r="273" ht="12.75">
      <c r="D273" s="126"/>
    </row>
    <row r="274" ht="12.75">
      <c r="D274" s="126"/>
    </row>
    <row r="275" ht="12.75">
      <c r="D275" s="126"/>
    </row>
    <row r="276" ht="12.75">
      <c r="D276" s="126"/>
    </row>
    <row r="277" ht="12.75">
      <c r="D277" s="126"/>
    </row>
    <row r="278" ht="12.75">
      <c r="D278" s="126"/>
    </row>
    <row r="279" ht="12.75">
      <c r="D279" s="126"/>
    </row>
    <row r="280" ht="12.75">
      <c r="D280" s="126"/>
    </row>
    <row r="281" ht="12.75">
      <c r="D281" s="126"/>
    </row>
    <row r="282" ht="12.75">
      <c r="D282" s="126"/>
    </row>
    <row r="283" ht="12.75">
      <c r="D283" s="126"/>
    </row>
    <row r="284" ht="12.75">
      <c r="D284" s="126"/>
    </row>
    <row r="285" ht="12.75">
      <c r="D285" s="126"/>
    </row>
    <row r="286" ht="12.75">
      <c r="D286" s="126"/>
    </row>
    <row r="287" ht="12.75">
      <c r="D287" s="126"/>
    </row>
    <row r="288" ht="12.75">
      <c r="D288" s="126"/>
    </row>
    <row r="289" ht="12.75">
      <c r="D289" s="126"/>
    </row>
    <row r="290" ht="12.75">
      <c r="D290" s="126"/>
    </row>
    <row r="291" ht="12.75">
      <c r="D291" s="126"/>
    </row>
    <row r="292" ht="12.75">
      <c r="D292" s="126"/>
    </row>
    <row r="293" ht="12.75">
      <c r="D293" s="126"/>
    </row>
    <row r="294" ht="12.75">
      <c r="D294" s="126"/>
    </row>
    <row r="295" ht="12.75">
      <c r="D295" s="126"/>
    </row>
    <row r="296" ht="12.75">
      <c r="D296" s="126"/>
    </row>
    <row r="297" ht="12.75">
      <c r="D297" s="126"/>
    </row>
    <row r="298" ht="12.75">
      <c r="D298" s="126"/>
    </row>
    <row r="299" ht="12.75">
      <c r="D299" s="126"/>
    </row>
    <row r="300" ht="12.75">
      <c r="D300" s="126"/>
    </row>
    <row r="301" ht="12.75">
      <c r="D301" s="126"/>
    </row>
    <row r="302" ht="12.75">
      <c r="D302" s="126"/>
    </row>
    <row r="303" ht="12.75">
      <c r="D303" s="126"/>
    </row>
    <row r="304" ht="12.75">
      <c r="D304" s="126"/>
    </row>
    <row r="305" ht="12.75">
      <c r="D305" s="126"/>
    </row>
    <row r="306" ht="12.75">
      <c r="D306" s="126"/>
    </row>
    <row r="307" ht="12.75">
      <c r="D307" s="126"/>
    </row>
    <row r="308" ht="12.75">
      <c r="D308" s="126"/>
    </row>
    <row r="309" ht="12.75">
      <c r="D309" s="126"/>
    </row>
    <row r="310" ht="12.75">
      <c r="D310" s="126"/>
    </row>
    <row r="311" ht="12.75">
      <c r="D311" s="126"/>
    </row>
    <row r="312" ht="12.75">
      <c r="D312" s="126"/>
    </row>
    <row r="313" ht="12.75">
      <c r="D313" s="126"/>
    </row>
    <row r="314" ht="12.75">
      <c r="D314" s="126"/>
    </row>
    <row r="315" ht="12.75">
      <c r="D315" s="126"/>
    </row>
    <row r="316" ht="12.75">
      <c r="D316" s="126"/>
    </row>
    <row r="317" ht="12.75">
      <c r="D317" s="126"/>
    </row>
    <row r="318" ht="12.75">
      <c r="D318" s="126"/>
    </row>
    <row r="319" ht="12.75">
      <c r="D319" s="126"/>
    </row>
    <row r="320" ht="12.75">
      <c r="D320" s="126"/>
    </row>
    <row r="321" ht="12.75">
      <c r="D321" s="126"/>
    </row>
    <row r="322" ht="12.75">
      <c r="D322" s="126"/>
    </row>
    <row r="323" ht="12.75">
      <c r="D323" s="126"/>
    </row>
    <row r="324" ht="12.75">
      <c r="D324" s="126"/>
    </row>
    <row r="325" ht="12.75">
      <c r="D325" s="126"/>
    </row>
    <row r="326" ht="12.75">
      <c r="D326" s="126"/>
    </row>
    <row r="327" ht="12.75">
      <c r="D327" s="126"/>
    </row>
    <row r="328" ht="12.75">
      <c r="D328" s="126"/>
    </row>
    <row r="329" ht="12.75">
      <c r="D329" s="126"/>
    </row>
    <row r="330" ht="12.75">
      <c r="D330" s="126"/>
    </row>
    <row r="331" ht="12.75">
      <c r="D331" s="126"/>
    </row>
    <row r="332" ht="12.75">
      <c r="D332" s="126"/>
    </row>
    <row r="333" ht="12.75">
      <c r="D333" s="126"/>
    </row>
    <row r="334" ht="12.75">
      <c r="D334" s="126"/>
    </row>
    <row r="335" ht="12.75">
      <c r="D335" s="126"/>
    </row>
    <row r="336" ht="12.75">
      <c r="D336" s="126"/>
    </row>
    <row r="337" ht="12.75">
      <c r="D337" s="126"/>
    </row>
    <row r="338" ht="12.75">
      <c r="D338" s="126"/>
    </row>
    <row r="339" ht="12.75">
      <c r="D339" s="126"/>
    </row>
    <row r="340" ht="12.75">
      <c r="D340" s="126"/>
    </row>
    <row r="341" ht="12.75">
      <c r="D341" s="126"/>
    </row>
    <row r="342" ht="12.75">
      <c r="D342" s="126"/>
    </row>
    <row r="343" ht="12.75">
      <c r="D343" s="126"/>
    </row>
    <row r="344" ht="12.75">
      <c r="D344" s="126"/>
    </row>
    <row r="345" ht="12.75">
      <c r="D345" s="126"/>
    </row>
    <row r="346" ht="12.75">
      <c r="D346" s="126"/>
    </row>
    <row r="347" ht="12.75">
      <c r="D347" s="126"/>
    </row>
    <row r="348" ht="12.75">
      <c r="D348" s="126"/>
    </row>
    <row r="349" ht="12.75">
      <c r="D349" s="126"/>
    </row>
    <row r="350" ht="12.75">
      <c r="D350" s="126"/>
    </row>
    <row r="351" ht="12.75">
      <c r="D351" s="126"/>
    </row>
    <row r="352" ht="12.75">
      <c r="D352" s="126"/>
    </row>
    <row r="353" ht="12.75">
      <c r="D353" s="126"/>
    </row>
    <row r="354" ht="12.75">
      <c r="D354" s="126"/>
    </row>
    <row r="355" ht="12.75">
      <c r="D355" s="126"/>
    </row>
    <row r="356" ht="12.75">
      <c r="D356" s="126"/>
    </row>
    <row r="357" ht="12.75">
      <c r="D357" s="126"/>
    </row>
    <row r="358" ht="12.75">
      <c r="D358" s="126"/>
    </row>
    <row r="359" ht="12.75">
      <c r="D359" s="126"/>
    </row>
    <row r="360" ht="12.75">
      <c r="D360" s="126"/>
    </row>
    <row r="361" ht="12.75">
      <c r="D361" s="126"/>
    </row>
    <row r="362" ht="12.75">
      <c r="D362" s="126"/>
    </row>
    <row r="363" ht="12.75">
      <c r="D363" s="126"/>
    </row>
    <row r="364" ht="12.75">
      <c r="D364" s="126"/>
    </row>
    <row r="365" ht="12.75">
      <c r="D365" s="126"/>
    </row>
    <row r="366" ht="12.75">
      <c r="D366" s="126"/>
    </row>
    <row r="367" ht="12.75">
      <c r="D367" s="126"/>
    </row>
    <row r="368" ht="12.75">
      <c r="D368" s="126"/>
    </row>
    <row r="369" ht="12.75">
      <c r="D369" s="126"/>
    </row>
    <row r="370" ht="12.75">
      <c r="D370" s="126"/>
    </row>
    <row r="371" ht="12.75">
      <c r="D371" s="126"/>
    </row>
    <row r="372" ht="12.75">
      <c r="D372" s="126"/>
    </row>
    <row r="373" ht="12.75">
      <c r="D373" s="126"/>
    </row>
    <row r="374" ht="12.75">
      <c r="D374" s="126"/>
    </row>
    <row r="375" ht="12.75">
      <c r="D375" s="126"/>
    </row>
    <row r="376" ht="12.75">
      <c r="D376" s="126"/>
    </row>
    <row r="377" ht="12.75">
      <c r="D377" s="126"/>
    </row>
    <row r="378" ht="12.75">
      <c r="D378" s="126"/>
    </row>
    <row r="379" ht="12.75">
      <c r="D379" s="126"/>
    </row>
    <row r="380" ht="12.75">
      <c r="D380" s="126"/>
    </row>
    <row r="381" ht="12.75">
      <c r="D381" s="126"/>
    </row>
    <row r="382" ht="12.75">
      <c r="D382" s="126"/>
    </row>
    <row r="383" ht="12.75">
      <c r="D383" s="126"/>
    </row>
    <row r="384" ht="12.75">
      <c r="D384" s="126"/>
    </row>
    <row r="385" ht="12.75">
      <c r="D385" s="126"/>
    </row>
    <row r="386" ht="12.75">
      <c r="D386" s="126"/>
    </row>
    <row r="387" ht="12.75">
      <c r="D387" s="126"/>
    </row>
    <row r="388" ht="12.75">
      <c r="D388" s="126"/>
    </row>
    <row r="389" ht="12.75">
      <c r="D389" s="126"/>
    </row>
    <row r="390" ht="12.75">
      <c r="D390" s="126"/>
    </row>
    <row r="391" ht="12.75">
      <c r="D391" s="126"/>
    </row>
    <row r="392" ht="12.75">
      <c r="D392" s="126"/>
    </row>
    <row r="393" ht="12.75">
      <c r="D393" s="126"/>
    </row>
    <row r="394" ht="12.75">
      <c r="D394" s="126"/>
    </row>
    <row r="395" ht="12.75">
      <c r="D395" s="126"/>
    </row>
    <row r="396" ht="12.75">
      <c r="D396" s="126"/>
    </row>
    <row r="397" ht="12.75">
      <c r="D397" s="126"/>
    </row>
    <row r="398" ht="12.75">
      <c r="D398" s="126"/>
    </row>
    <row r="399" ht="12.75">
      <c r="D399" s="126"/>
    </row>
    <row r="400" ht="12.75">
      <c r="D400" s="126"/>
    </row>
    <row r="401" ht="12.75">
      <c r="D401" s="126"/>
    </row>
    <row r="402" ht="12.75">
      <c r="D402" s="126"/>
    </row>
    <row r="403" ht="12.75">
      <c r="D403" s="126"/>
    </row>
    <row r="404" ht="12.75">
      <c r="D404" s="126"/>
    </row>
    <row r="405" ht="12.75">
      <c r="D405" s="126"/>
    </row>
    <row r="406" ht="12.75">
      <c r="D406" s="126"/>
    </row>
    <row r="407" ht="12.75">
      <c r="D407" s="126"/>
    </row>
    <row r="408" ht="12.75">
      <c r="D408" s="126"/>
    </row>
    <row r="409" ht="12.75">
      <c r="D409" s="126"/>
    </row>
    <row r="410" ht="12.75">
      <c r="D410" s="126"/>
    </row>
    <row r="411" ht="12.75">
      <c r="D411" s="126"/>
    </row>
    <row r="412" ht="12.75">
      <c r="D412" s="126"/>
    </row>
    <row r="413" ht="12.75">
      <c r="D413" s="126"/>
    </row>
    <row r="414" ht="12.75">
      <c r="D414" s="126"/>
    </row>
    <row r="415" ht="12.75">
      <c r="D415" s="126"/>
    </row>
    <row r="416" ht="12.75">
      <c r="D416" s="126"/>
    </row>
    <row r="417" ht="12.75">
      <c r="D417" s="126"/>
    </row>
    <row r="418" ht="12.75">
      <c r="D418" s="126"/>
    </row>
    <row r="419" ht="12.75">
      <c r="D419" s="126"/>
    </row>
    <row r="420" ht="12.75">
      <c r="D420" s="126"/>
    </row>
    <row r="421" ht="12.75">
      <c r="D421" s="126"/>
    </row>
    <row r="422" ht="12.75">
      <c r="D422" s="126"/>
    </row>
    <row r="423" ht="12.75">
      <c r="D423" s="126"/>
    </row>
    <row r="424" ht="12.75">
      <c r="D424" s="126"/>
    </row>
    <row r="425" ht="12.75">
      <c r="D425" s="126"/>
    </row>
    <row r="426" ht="12.75">
      <c r="D426" s="126"/>
    </row>
    <row r="427" ht="12.75">
      <c r="D427" s="126"/>
    </row>
    <row r="428" ht="12.75">
      <c r="D428" s="126"/>
    </row>
    <row r="429" ht="12.75">
      <c r="D429" s="126"/>
    </row>
    <row r="430" ht="12.75">
      <c r="D430" s="126"/>
    </row>
    <row r="431" ht="12.75">
      <c r="D431" s="126"/>
    </row>
    <row r="432" ht="12.75">
      <c r="D432" s="126"/>
    </row>
    <row r="433" ht="12.75">
      <c r="D433" s="126"/>
    </row>
    <row r="434" ht="12.75">
      <c r="D434" s="126"/>
    </row>
    <row r="435" ht="12.75">
      <c r="D435" s="126"/>
    </row>
    <row r="436" ht="12.75">
      <c r="D436" s="126"/>
    </row>
    <row r="437" ht="12.75">
      <c r="D437" s="126"/>
    </row>
    <row r="438" ht="12.75">
      <c r="D438" s="126"/>
    </row>
    <row r="439" ht="12.75">
      <c r="D439" s="126"/>
    </row>
    <row r="440" ht="12.75">
      <c r="D440" s="126"/>
    </row>
    <row r="441" ht="12.75">
      <c r="D441" s="126"/>
    </row>
    <row r="442" ht="12.75">
      <c r="D442" s="126"/>
    </row>
    <row r="443" ht="12.75">
      <c r="D443" s="126"/>
    </row>
    <row r="444" ht="12.75">
      <c r="D444" s="126"/>
    </row>
    <row r="445" ht="12.75">
      <c r="D445" s="126"/>
    </row>
    <row r="446" ht="12.75">
      <c r="D446" s="126"/>
    </row>
    <row r="447" ht="12.75">
      <c r="D447" s="126"/>
    </row>
    <row r="448" ht="12.75">
      <c r="D448" s="126"/>
    </row>
    <row r="449" ht="12.75">
      <c r="D449" s="126"/>
    </row>
    <row r="450" ht="12.75">
      <c r="D450" s="126"/>
    </row>
    <row r="451" ht="12.75">
      <c r="D451" s="126"/>
    </row>
    <row r="452" ht="12.75">
      <c r="D452" s="126"/>
    </row>
    <row r="453" ht="12.75">
      <c r="D453" s="126"/>
    </row>
    <row r="454" ht="12.75">
      <c r="D454" s="126"/>
    </row>
    <row r="455" ht="12.75">
      <c r="D455" s="126"/>
    </row>
    <row r="456" ht="12.75">
      <c r="D456" s="126"/>
    </row>
    <row r="457" ht="12.75">
      <c r="D457" s="126"/>
    </row>
    <row r="458" ht="12.75">
      <c r="D458" s="126"/>
    </row>
    <row r="459" ht="12.75">
      <c r="D459" s="126"/>
    </row>
    <row r="460" ht="12.75">
      <c r="D460" s="126"/>
    </row>
    <row r="461" ht="12.75">
      <c r="D461" s="126"/>
    </row>
    <row r="462" ht="12.75">
      <c r="D462" s="126"/>
    </row>
    <row r="463" ht="12.75">
      <c r="D463" s="126"/>
    </row>
    <row r="464" ht="12.75">
      <c r="D464" s="126"/>
    </row>
    <row r="465" ht="12.75">
      <c r="D465" s="126"/>
    </row>
    <row r="466" ht="12.75">
      <c r="D466" s="126"/>
    </row>
    <row r="467" ht="12.75">
      <c r="D467" s="126"/>
    </row>
    <row r="468" ht="12.75">
      <c r="D468" s="126"/>
    </row>
    <row r="469" ht="12.75">
      <c r="D469" s="126"/>
    </row>
    <row r="470" ht="12.75">
      <c r="D470" s="126"/>
    </row>
    <row r="471" ht="12.75">
      <c r="D471" s="126"/>
    </row>
    <row r="472" ht="12.75">
      <c r="D472" s="126"/>
    </row>
    <row r="473" ht="12.75">
      <c r="D473" s="126"/>
    </row>
    <row r="474" ht="12.75">
      <c r="D474" s="126"/>
    </row>
    <row r="475" ht="12.75">
      <c r="D475" s="126"/>
    </row>
    <row r="476" ht="12.75">
      <c r="D476" s="126"/>
    </row>
    <row r="477" ht="12.75">
      <c r="D477" s="126"/>
    </row>
    <row r="478" ht="12.75">
      <c r="D478" s="126"/>
    </row>
    <row r="479" ht="12.75">
      <c r="D479" s="126"/>
    </row>
    <row r="480" ht="12.75">
      <c r="D480" s="126"/>
    </row>
    <row r="481" ht="12.75">
      <c r="D481" s="126"/>
    </row>
    <row r="482" ht="12.75">
      <c r="D482" s="126"/>
    </row>
    <row r="483" ht="12.75">
      <c r="D483" s="126"/>
    </row>
    <row r="484" ht="12.75">
      <c r="D484" s="126"/>
    </row>
    <row r="485" ht="12.75">
      <c r="D485" s="126"/>
    </row>
    <row r="486" ht="12.75">
      <c r="D486" s="126"/>
    </row>
    <row r="487" ht="12.75">
      <c r="D487" s="126"/>
    </row>
    <row r="488" ht="12.75">
      <c r="D488" s="126"/>
    </row>
    <row r="489" ht="12.75">
      <c r="D489" s="126"/>
    </row>
    <row r="490" ht="12.75">
      <c r="D490" s="126"/>
    </row>
    <row r="491" ht="12.75">
      <c r="D491" s="126"/>
    </row>
    <row r="492" ht="12.75">
      <c r="D492" s="126"/>
    </row>
    <row r="493" ht="12.75">
      <c r="D493" s="126"/>
    </row>
    <row r="494" ht="12.75">
      <c r="D494" s="126"/>
    </row>
    <row r="495" ht="12.75">
      <c r="D495" s="126"/>
    </row>
    <row r="496" ht="12.75">
      <c r="D496" s="126"/>
    </row>
    <row r="497" ht="12.75">
      <c r="D497" s="126"/>
    </row>
    <row r="498" ht="12.75">
      <c r="D498" s="126"/>
    </row>
    <row r="499" ht="12.75">
      <c r="D499" s="126"/>
    </row>
    <row r="500" ht="12.75">
      <c r="D500" s="126"/>
    </row>
    <row r="501" ht="12.75">
      <c r="D501" s="126"/>
    </row>
    <row r="502" ht="12.75">
      <c r="D502" s="126"/>
    </row>
    <row r="503" ht="12.75">
      <c r="D503" s="126"/>
    </row>
    <row r="504" ht="12.75">
      <c r="D504" s="126"/>
    </row>
    <row r="505" ht="12.75">
      <c r="D505" s="126"/>
    </row>
    <row r="506" ht="12.75">
      <c r="D506" s="126"/>
    </row>
    <row r="507" ht="12.75">
      <c r="D507" s="126"/>
    </row>
    <row r="508" ht="12.75">
      <c r="D508" s="126"/>
    </row>
    <row r="509" ht="12.75">
      <c r="D509" s="126"/>
    </row>
    <row r="510" ht="12.75">
      <c r="D510" s="126"/>
    </row>
    <row r="511" ht="12.75">
      <c r="D511" s="126"/>
    </row>
    <row r="512" ht="12.75">
      <c r="D512" s="126"/>
    </row>
    <row r="513" ht="12.75">
      <c r="D513" s="126"/>
    </row>
    <row r="514" ht="12.75">
      <c r="D514" s="126"/>
    </row>
    <row r="515" ht="12.75">
      <c r="D515" s="126"/>
    </row>
    <row r="516" ht="12.75">
      <c r="D516" s="126"/>
    </row>
    <row r="517" ht="12.75">
      <c r="D517" s="126"/>
    </row>
    <row r="518" ht="12.75">
      <c r="D518" s="126"/>
    </row>
    <row r="519" ht="12.75">
      <c r="D519" s="126"/>
    </row>
    <row r="520" ht="12.75">
      <c r="D520" s="126"/>
    </row>
    <row r="521" ht="12.75">
      <c r="D521" s="126"/>
    </row>
    <row r="522" ht="12.75">
      <c r="D522" s="126"/>
    </row>
    <row r="523" ht="12.75">
      <c r="D523" s="126"/>
    </row>
    <row r="524" ht="12.75">
      <c r="D524" s="126"/>
    </row>
    <row r="525" ht="12.75">
      <c r="D525" s="126"/>
    </row>
    <row r="526" ht="12.75">
      <c r="D526" s="126"/>
    </row>
    <row r="527" ht="12.75">
      <c r="D527" s="126"/>
    </row>
    <row r="528" ht="12.75">
      <c r="D528" s="126"/>
    </row>
    <row r="529" ht="12.75">
      <c r="D529" s="126"/>
    </row>
    <row r="530" ht="12.75">
      <c r="D530" s="126"/>
    </row>
    <row r="531" ht="12.75">
      <c r="D531" s="126"/>
    </row>
    <row r="532" ht="12.75">
      <c r="D532" s="126"/>
    </row>
    <row r="533" ht="12.75">
      <c r="D533" s="126"/>
    </row>
    <row r="534" ht="12.75">
      <c r="D534" s="126"/>
    </row>
    <row r="535" ht="12.75">
      <c r="D535" s="126"/>
    </row>
    <row r="536" ht="12.75">
      <c r="D536" s="126"/>
    </row>
    <row r="537" ht="12.75">
      <c r="D537" s="126"/>
    </row>
    <row r="538" ht="12.75">
      <c r="D538" s="126"/>
    </row>
    <row r="539" ht="12.75">
      <c r="D539" s="126"/>
    </row>
    <row r="540" ht="12.75">
      <c r="D540" s="126"/>
    </row>
    <row r="541" ht="12.75">
      <c r="D541" s="126"/>
    </row>
    <row r="542" ht="12.75">
      <c r="D542" s="126"/>
    </row>
    <row r="543" ht="12.75">
      <c r="D543" s="126"/>
    </row>
    <row r="544" ht="12.75">
      <c r="D544" s="126"/>
    </row>
    <row r="545" ht="12.75">
      <c r="D545" s="126"/>
    </row>
    <row r="546" ht="12.75">
      <c r="D546" s="126"/>
    </row>
    <row r="547" ht="12.75">
      <c r="D547" s="126"/>
    </row>
    <row r="548" ht="12.75">
      <c r="D548" s="126"/>
    </row>
    <row r="549" ht="12.75">
      <c r="D549" s="126"/>
    </row>
    <row r="550" ht="12.75">
      <c r="D550" s="126"/>
    </row>
    <row r="551" ht="12.75">
      <c r="D551" s="126"/>
    </row>
    <row r="552" ht="12.75">
      <c r="D552" s="126"/>
    </row>
    <row r="553" ht="12.75">
      <c r="D553" s="126"/>
    </row>
    <row r="554" ht="12.75">
      <c r="D554" s="126"/>
    </row>
    <row r="555" ht="12.75">
      <c r="D555" s="126"/>
    </row>
    <row r="556" ht="12.75">
      <c r="D556" s="126"/>
    </row>
    <row r="557" ht="12.75">
      <c r="D557" s="126"/>
    </row>
    <row r="558" ht="12.75">
      <c r="D558" s="126"/>
    </row>
    <row r="559" ht="12.75">
      <c r="D559" s="126"/>
    </row>
    <row r="560" ht="12.75">
      <c r="D560" s="126"/>
    </row>
    <row r="561" ht="12.75">
      <c r="D561" s="126"/>
    </row>
    <row r="562" ht="12.75">
      <c r="D562" s="126"/>
    </row>
    <row r="563" ht="12.75">
      <c r="D563" s="126"/>
    </row>
    <row r="564" ht="12.75">
      <c r="D564" s="126"/>
    </row>
    <row r="565" ht="12.75">
      <c r="D565" s="126"/>
    </row>
    <row r="566" ht="12.75">
      <c r="D566" s="126"/>
    </row>
    <row r="567" ht="12.75">
      <c r="D567" s="126"/>
    </row>
    <row r="568" ht="12.75">
      <c r="D568" s="126"/>
    </row>
    <row r="569" ht="12.75">
      <c r="D569" s="126"/>
    </row>
    <row r="570" ht="12.75">
      <c r="D570" s="126"/>
    </row>
    <row r="571" ht="12.75">
      <c r="D571" s="126"/>
    </row>
    <row r="572" ht="12.75">
      <c r="D572" s="126"/>
    </row>
    <row r="573" ht="12.75">
      <c r="D573" s="126"/>
    </row>
    <row r="574" ht="12.75">
      <c r="D574" s="126"/>
    </row>
    <row r="575" ht="12.75">
      <c r="D575" s="126"/>
    </row>
    <row r="576" ht="12.75">
      <c r="D576" s="126"/>
    </row>
    <row r="577" ht="12.75">
      <c r="D577" s="126"/>
    </row>
    <row r="578" ht="12.75">
      <c r="D578" s="126"/>
    </row>
    <row r="579" ht="12.75">
      <c r="D579" s="126"/>
    </row>
    <row r="580" ht="12.75">
      <c r="D580" s="126"/>
    </row>
    <row r="581" ht="12.75">
      <c r="D581" s="126"/>
    </row>
    <row r="582" ht="12.75">
      <c r="D582" s="126"/>
    </row>
    <row r="583" ht="12.75">
      <c r="D583" s="126"/>
    </row>
    <row r="584" ht="12.75">
      <c r="D584" s="126"/>
    </row>
    <row r="585" ht="12.75">
      <c r="D585" s="126"/>
    </row>
    <row r="586" ht="12.75">
      <c r="D586" s="126"/>
    </row>
    <row r="587" ht="12.75">
      <c r="D587" s="126"/>
    </row>
    <row r="588" ht="12.75">
      <c r="D588" s="126"/>
    </row>
    <row r="589" ht="12.75">
      <c r="D589" s="126"/>
    </row>
    <row r="590" ht="12.75">
      <c r="D590" s="126"/>
    </row>
    <row r="591" ht="12.75">
      <c r="D591" s="126"/>
    </row>
    <row r="592" ht="12.75">
      <c r="D592" s="126"/>
    </row>
    <row r="593" ht="12.75">
      <c r="D593" s="126"/>
    </row>
    <row r="594" ht="12.75">
      <c r="D594" s="126"/>
    </row>
    <row r="595" ht="12.75">
      <c r="D595" s="126"/>
    </row>
    <row r="596" ht="12.75">
      <c r="D596" s="126"/>
    </row>
    <row r="597" ht="12.75">
      <c r="D597" s="126"/>
    </row>
    <row r="598" ht="12.75">
      <c r="D598" s="126"/>
    </row>
    <row r="599" ht="12.75">
      <c r="D599" s="126"/>
    </row>
    <row r="600" ht="12.75">
      <c r="D600" s="126"/>
    </row>
    <row r="601" ht="12.75">
      <c r="D601" s="126"/>
    </row>
    <row r="602" ht="12.75">
      <c r="D602" s="126"/>
    </row>
    <row r="603" ht="12.75">
      <c r="D603" s="126"/>
    </row>
    <row r="604" ht="12.75">
      <c r="D604" s="126"/>
    </row>
    <row r="605" ht="12.75">
      <c r="D605" s="126"/>
    </row>
    <row r="606" ht="12.75">
      <c r="D606" s="126"/>
    </row>
    <row r="607" ht="12.75">
      <c r="D607" s="126"/>
    </row>
    <row r="608" ht="12.75">
      <c r="D608" s="126"/>
    </row>
    <row r="609" ht="12.75">
      <c r="D609" s="126"/>
    </row>
    <row r="610" ht="12.75">
      <c r="D610" s="126"/>
    </row>
    <row r="611" ht="12.75">
      <c r="D611" s="126"/>
    </row>
    <row r="612" ht="12.75">
      <c r="D612" s="126"/>
    </row>
    <row r="613" ht="12.75">
      <c r="D613" s="126"/>
    </row>
    <row r="614" ht="12.75">
      <c r="D614" s="126"/>
    </row>
    <row r="615" ht="12.75">
      <c r="D615" s="126"/>
    </row>
    <row r="616" ht="12.75">
      <c r="D616" s="126"/>
    </row>
    <row r="617" ht="12.75">
      <c r="D617" s="126"/>
    </row>
    <row r="618" ht="12.75">
      <c r="D618" s="126"/>
    </row>
    <row r="619" ht="12.75">
      <c r="D619" s="126"/>
    </row>
    <row r="620" ht="12.75">
      <c r="D620" s="126"/>
    </row>
    <row r="621" ht="12.75">
      <c r="D621" s="126"/>
    </row>
    <row r="622" ht="12.75">
      <c r="D622" s="126"/>
    </row>
    <row r="623" ht="12.75">
      <c r="D623" s="126"/>
    </row>
    <row r="624" ht="12.75">
      <c r="D624" s="126"/>
    </row>
    <row r="625" ht="12.75">
      <c r="D625" s="126"/>
    </row>
    <row r="626" ht="12.75">
      <c r="D626" s="126"/>
    </row>
    <row r="627" ht="12.75">
      <c r="D627" s="126"/>
    </row>
    <row r="628" ht="12.75">
      <c r="D628" s="126"/>
    </row>
    <row r="629" ht="12.75">
      <c r="D629" s="126"/>
    </row>
    <row r="630" ht="12.75">
      <c r="D630" s="126"/>
    </row>
    <row r="631" ht="12.75">
      <c r="D631" s="126"/>
    </row>
    <row r="632" ht="12.75">
      <c r="D632" s="126"/>
    </row>
    <row r="633" ht="12.75">
      <c r="D633" s="126"/>
    </row>
    <row r="634" ht="12.75">
      <c r="D634" s="126"/>
    </row>
    <row r="635" ht="12.75">
      <c r="D635" s="126"/>
    </row>
    <row r="636" ht="12.75">
      <c r="D636" s="126"/>
    </row>
    <row r="637" ht="12.75">
      <c r="D637" s="126"/>
    </row>
    <row r="638" ht="12.75">
      <c r="D638" s="126"/>
    </row>
    <row r="639" ht="12.75">
      <c r="D639" s="126"/>
    </row>
    <row r="640" ht="12.75">
      <c r="D640" s="126"/>
    </row>
    <row r="641" ht="12.75">
      <c r="D641" s="126"/>
    </row>
    <row r="642" ht="12.75">
      <c r="D642" s="126"/>
    </row>
    <row r="643" ht="12.75">
      <c r="D643" s="126"/>
    </row>
    <row r="644" ht="12.75">
      <c r="D644" s="126"/>
    </row>
    <row r="645" ht="12.75">
      <c r="D645" s="126"/>
    </row>
    <row r="646" ht="12.75">
      <c r="D646" s="126"/>
    </row>
    <row r="647" ht="12.75">
      <c r="D647" s="126"/>
    </row>
    <row r="648" ht="12.75">
      <c r="D648" s="126"/>
    </row>
    <row r="649" ht="12.75">
      <c r="D649" s="126"/>
    </row>
    <row r="650" ht="12.75">
      <c r="D650" s="126"/>
    </row>
    <row r="651" ht="12.75">
      <c r="D651" s="126"/>
    </row>
    <row r="652" ht="12.75">
      <c r="D652" s="126"/>
    </row>
    <row r="653" ht="12.75">
      <c r="D653" s="126"/>
    </row>
    <row r="654" ht="12.75">
      <c r="D654" s="126"/>
    </row>
    <row r="655" ht="12.75">
      <c r="D655" s="126"/>
    </row>
    <row r="656" ht="12.75">
      <c r="D656" s="126"/>
    </row>
    <row r="657" ht="12.75">
      <c r="D657" s="126"/>
    </row>
    <row r="658" ht="12.75">
      <c r="D658" s="126"/>
    </row>
    <row r="659" ht="12.75">
      <c r="D659" s="126"/>
    </row>
    <row r="660" ht="12.75">
      <c r="D660" s="126"/>
    </row>
    <row r="661" ht="12.75">
      <c r="D661" s="126"/>
    </row>
    <row r="662" ht="12.75">
      <c r="D662" s="126"/>
    </row>
    <row r="663" ht="12.75">
      <c r="D663" s="126"/>
    </row>
    <row r="664" ht="12.75">
      <c r="D664" s="126"/>
    </row>
    <row r="665" ht="12.75">
      <c r="D665" s="126"/>
    </row>
    <row r="666" ht="12.75">
      <c r="D666" s="126"/>
    </row>
    <row r="667" ht="12.75">
      <c r="D667" s="126"/>
    </row>
    <row r="668" ht="12.75">
      <c r="D668" s="126"/>
    </row>
    <row r="669" ht="12.75">
      <c r="D669" s="126"/>
    </row>
    <row r="670" ht="12.75">
      <c r="D670" s="126"/>
    </row>
    <row r="671" ht="12.75">
      <c r="D671" s="126"/>
    </row>
    <row r="672" ht="12.75">
      <c r="D672" s="126"/>
    </row>
    <row r="673" ht="12.75">
      <c r="D673" s="126"/>
    </row>
    <row r="674" ht="12.75">
      <c r="D674" s="126"/>
    </row>
    <row r="675" ht="12.75">
      <c r="D675" s="126"/>
    </row>
    <row r="676" ht="12.75">
      <c r="D676" s="126"/>
    </row>
    <row r="677" ht="12.75">
      <c r="D677" s="126"/>
    </row>
    <row r="678" ht="12.75">
      <c r="D678" s="126"/>
    </row>
    <row r="679" ht="12.75">
      <c r="D679" s="126"/>
    </row>
    <row r="680" ht="12.75">
      <c r="D680" s="126"/>
    </row>
    <row r="681" ht="12.75">
      <c r="D681" s="126"/>
    </row>
    <row r="682" ht="12.75">
      <c r="D682" s="126"/>
    </row>
    <row r="683" ht="12.75">
      <c r="D683" s="126"/>
    </row>
    <row r="684" ht="12.75">
      <c r="D684" s="126"/>
    </row>
    <row r="685" ht="12.75">
      <c r="D685" s="126"/>
    </row>
    <row r="686" ht="12.75">
      <c r="D686" s="126"/>
    </row>
    <row r="687" ht="12.75">
      <c r="D687" s="126"/>
    </row>
    <row r="688" ht="12.75">
      <c r="D688" s="126"/>
    </row>
    <row r="689" ht="12.75">
      <c r="D689" s="126"/>
    </row>
    <row r="690" ht="12.75">
      <c r="D690" s="126"/>
    </row>
    <row r="691" ht="12.75">
      <c r="D691" s="126"/>
    </row>
    <row r="692" ht="12.75">
      <c r="D692" s="126"/>
    </row>
    <row r="693" ht="12.75">
      <c r="D693" s="126"/>
    </row>
    <row r="694" ht="12.75">
      <c r="D694" s="126"/>
    </row>
    <row r="695" ht="12.75">
      <c r="D695" s="126"/>
    </row>
    <row r="696" ht="12.75">
      <c r="D696" s="126"/>
    </row>
    <row r="697" ht="12.75">
      <c r="D697" s="126"/>
    </row>
    <row r="698" ht="12.75">
      <c r="D698" s="126"/>
    </row>
    <row r="699" ht="12.75">
      <c r="D699" s="126"/>
    </row>
    <row r="700" ht="12.75">
      <c r="D700" s="126"/>
    </row>
    <row r="701" ht="12.75">
      <c r="D701" s="126"/>
    </row>
    <row r="702" ht="12.75">
      <c r="D702" s="126"/>
    </row>
    <row r="703" ht="12.75">
      <c r="D703" s="126"/>
    </row>
    <row r="704" ht="12.75">
      <c r="D704" s="126"/>
    </row>
    <row r="705" ht="12.75">
      <c r="D705" s="126"/>
    </row>
    <row r="706" ht="12.75">
      <c r="D706" s="126"/>
    </row>
    <row r="707" ht="12.75">
      <c r="D707" s="126"/>
    </row>
    <row r="708" ht="12.75">
      <c r="D708" s="126"/>
    </row>
    <row r="709" ht="12.75">
      <c r="D709" s="126"/>
    </row>
    <row r="710" ht="12.75">
      <c r="D710" s="126"/>
    </row>
    <row r="711" ht="12.75">
      <c r="D711" s="126"/>
    </row>
    <row r="712" ht="12.75">
      <c r="D712" s="126"/>
    </row>
    <row r="713" ht="12.75">
      <c r="D713" s="126"/>
    </row>
    <row r="714" ht="12.75">
      <c r="D714" s="126"/>
    </row>
    <row r="715" ht="12.75">
      <c r="D715" s="126"/>
    </row>
    <row r="716" ht="12.75">
      <c r="D716" s="126"/>
    </row>
    <row r="717" ht="12.75">
      <c r="D717" s="126"/>
    </row>
    <row r="718" ht="12.75">
      <c r="D718" s="126"/>
    </row>
    <row r="719" ht="12.75">
      <c r="D719" s="126"/>
    </row>
    <row r="720" ht="12.75">
      <c r="D720" s="126"/>
    </row>
    <row r="721" ht="12.75">
      <c r="D721" s="126"/>
    </row>
    <row r="722" ht="12.75">
      <c r="D722" s="126"/>
    </row>
    <row r="723" ht="12.75">
      <c r="D723" s="126"/>
    </row>
    <row r="724" ht="12.75">
      <c r="D724" s="126"/>
    </row>
    <row r="725" ht="12.75">
      <c r="D725" s="126"/>
    </row>
    <row r="726" ht="12.75">
      <c r="D726" s="126"/>
    </row>
    <row r="727" ht="12.75">
      <c r="D727" s="126"/>
    </row>
    <row r="728" ht="12.75">
      <c r="D728" s="126"/>
    </row>
    <row r="729" ht="12.75">
      <c r="D729" s="126"/>
    </row>
    <row r="730" ht="12.75">
      <c r="D730" s="126"/>
    </row>
    <row r="731" ht="12.75">
      <c r="D731" s="126"/>
    </row>
    <row r="732" ht="12.75">
      <c r="D732" s="126"/>
    </row>
    <row r="733" ht="12.75">
      <c r="D733" s="126"/>
    </row>
    <row r="734" ht="12.75">
      <c r="D734" s="126"/>
    </row>
    <row r="735" ht="12.75">
      <c r="D735" s="126"/>
    </row>
    <row r="736" ht="12.75">
      <c r="D736" s="126"/>
    </row>
    <row r="737" ht="12.75">
      <c r="D737" s="126"/>
    </row>
    <row r="738" ht="12.75">
      <c r="D738" s="126"/>
    </row>
    <row r="739" ht="12.75">
      <c r="D739" s="126"/>
    </row>
    <row r="740" ht="12.75">
      <c r="D740" s="126"/>
    </row>
    <row r="741" ht="12.75">
      <c r="D741" s="126"/>
    </row>
    <row r="742" ht="12.75">
      <c r="D742" s="126"/>
    </row>
    <row r="743" ht="12.75">
      <c r="D743" s="126"/>
    </row>
    <row r="744" ht="12.75">
      <c r="D744" s="126"/>
    </row>
    <row r="745" ht="12.75">
      <c r="D745" s="126"/>
    </row>
    <row r="746" ht="12.75">
      <c r="D746" s="126"/>
    </row>
    <row r="747" ht="12.75">
      <c r="D747" s="126"/>
    </row>
    <row r="748" ht="12.75">
      <c r="D748" s="126"/>
    </row>
    <row r="749" ht="12.75">
      <c r="D749" s="126"/>
    </row>
    <row r="750" ht="12.75">
      <c r="D750" s="126"/>
    </row>
    <row r="751" ht="12.75">
      <c r="D751" s="126"/>
    </row>
    <row r="752" ht="12.75">
      <c r="D752" s="126"/>
    </row>
    <row r="753" ht="12.75">
      <c r="D753" s="126"/>
    </row>
    <row r="754" ht="12.75">
      <c r="D754" s="126"/>
    </row>
    <row r="755" ht="12.75">
      <c r="D755" s="126"/>
    </row>
    <row r="756" ht="12.75">
      <c r="D756" s="126"/>
    </row>
    <row r="757" ht="12.75">
      <c r="D757" s="126"/>
    </row>
    <row r="758" ht="12.75">
      <c r="D758" s="126"/>
    </row>
    <row r="759" ht="12.75">
      <c r="D759" s="126"/>
    </row>
    <row r="760" ht="12.75">
      <c r="D760" s="126"/>
    </row>
    <row r="761" ht="12.75">
      <c r="D761" s="126"/>
    </row>
    <row r="762" ht="12.75">
      <c r="D762" s="126"/>
    </row>
    <row r="763" ht="12.75">
      <c r="D763" s="126"/>
    </row>
    <row r="764" ht="12.75">
      <c r="D764" s="126"/>
    </row>
    <row r="765" ht="12.75">
      <c r="D765" s="126"/>
    </row>
    <row r="766" ht="12.75">
      <c r="D766" s="126"/>
    </row>
    <row r="767" ht="12.75">
      <c r="D767" s="126"/>
    </row>
    <row r="768" ht="12.75">
      <c r="D768" s="126"/>
    </row>
    <row r="769" ht="12.75">
      <c r="D769" s="126"/>
    </row>
    <row r="770" ht="12.75">
      <c r="D770" s="126"/>
    </row>
    <row r="771" ht="12.75">
      <c r="D771" s="126"/>
    </row>
    <row r="772" ht="12.75">
      <c r="D772" s="126"/>
    </row>
    <row r="773" ht="12.75">
      <c r="D773" s="126"/>
    </row>
    <row r="774" ht="12.75">
      <c r="D774" s="126"/>
    </row>
    <row r="775" ht="12.75">
      <c r="D775" s="126"/>
    </row>
    <row r="776" ht="12.75">
      <c r="D776" s="126"/>
    </row>
    <row r="777" ht="12.75">
      <c r="D777" s="126"/>
    </row>
    <row r="778" ht="12.75">
      <c r="D778" s="126"/>
    </row>
    <row r="779" ht="12.75">
      <c r="D779" s="126"/>
    </row>
    <row r="780" ht="12.75">
      <c r="D780" s="126"/>
    </row>
    <row r="781" ht="12.75">
      <c r="D781" s="126"/>
    </row>
    <row r="782" ht="12.75">
      <c r="D782" s="126"/>
    </row>
    <row r="783" ht="12.75">
      <c r="D783" s="126"/>
    </row>
    <row r="784" ht="12.75">
      <c r="D784" s="126"/>
    </row>
    <row r="785" ht="12.75">
      <c r="D785" s="126"/>
    </row>
    <row r="786" ht="12.75">
      <c r="D786" s="126"/>
    </row>
    <row r="787" ht="12.75">
      <c r="D787" s="126"/>
    </row>
    <row r="788" ht="12.75">
      <c r="D788" s="126"/>
    </row>
    <row r="789" ht="12.75">
      <c r="D789" s="126"/>
    </row>
    <row r="790" ht="12.75">
      <c r="D790" s="126"/>
    </row>
    <row r="791" ht="12.75">
      <c r="D791" s="126"/>
    </row>
    <row r="792" ht="12.75">
      <c r="D792" s="126"/>
    </row>
    <row r="793" ht="12.75">
      <c r="D793" s="126"/>
    </row>
    <row r="794" ht="12.75">
      <c r="D794" s="126"/>
    </row>
    <row r="795" ht="12.75">
      <c r="D795" s="126"/>
    </row>
    <row r="796" ht="12.75">
      <c r="D796" s="126"/>
    </row>
    <row r="797" ht="12.75">
      <c r="D797" s="126"/>
    </row>
    <row r="798" ht="12.75">
      <c r="D798" s="126"/>
    </row>
    <row r="799" ht="12.75">
      <c r="D799" s="126"/>
    </row>
    <row r="800" ht="12.75">
      <c r="D800" s="126"/>
    </row>
    <row r="801" ht="12.75">
      <c r="D801" s="126"/>
    </row>
    <row r="802" ht="12.75">
      <c r="D802" s="126"/>
    </row>
    <row r="803" ht="12.75">
      <c r="D803" s="126"/>
    </row>
    <row r="804" ht="12.75">
      <c r="D804" s="126"/>
    </row>
    <row r="805" ht="12.75">
      <c r="D805" s="126"/>
    </row>
    <row r="806" ht="12.75">
      <c r="D806" s="126"/>
    </row>
    <row r="807" ht="12.75">
      <c r="D807" s="126"/>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&amp;C55</oddFooter>
  </headerFooter>
  <drawing r:id="rId1"/>
</worksheet>
</file>

<file path=xl/worksheets/sheet42.xml><?xml version="1.0" encoding="utf-8"?>
<worksheet xmlns="http://schemas.openxmlformats.org/spreadsheetml/2006/main" xmlns:r="http://schemas.openxmlformats.org/officeDocument/2006/relationships">
  <dimension ref="A1:F68"/>
  <sheetViews>
    <sheetView workbookViewId="0" topLeftCell="A1">
      <selection activeCell="A5" sqref="A5:F5"/>
    </sheetView>
  </sheetViews>
  <sheetFormatPr defaultColWidth="11.421875" defaultRowHeight="12.75"/>
  <cols>
    <col min="1" max="1" width="30.8515625" style="0" customWidth="1"/>
    <col min="2" max="2" width="16.8515625" style="0" customWidth="1"/>
    <col min="3" max="3" width="13.28125" style="0" customWidth="1"/>
    <col min="4" max="4" width="16.8515625" style="0" customWidth="1"/>
    <col min="5" max="6" width="13.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8.25" customHeight="1" thickBot="1">
      <c r="A4" s="4"/>
      <c r="B4" s="4"/>
      <c r="C4" s="4"/>
      <c r="D4" s="4"/>
      <c r="E4" s="4"/>
      <c r="F4" s="4"/>
    </row>
    <row r="5" spans="1:6" ht="18.75" customHeight="1">
      <c r="A5" s="585" t="s">
        <v>984</v>
      </c>
      <c r="B5" s="586"/>
      <c r="C5" s="586"/>
      <c r="D5" s="586"/>
      <c r="E5" s="586"/>
      <c r="F5" s="587"/>
    </row>
    <row r="6" spans="1:6" ht="20.25" customHeight="1" thickBot="1">
      <c r="A6" s="588" t="s">
        <v>985</v>
      </c>
      <c r="B6" s="589"/>
      <c r="C6" s="589"/>
      <c r="D6" s="589"/>
      <c r="E6" s="589"/>
      <c r="F6" s="590"/>
    </row>
    <row r="7" spans="1:6" ht="15.75">
      <c r="A7" s="6"/>
      <c r="B7" s="5"/>
      <c r="C7" s="5"/>
      <c r="D7" s="5"/>
      <c r="E7" s="5"/>
      <c r="F7" s="5"/>
    </row>
    <row r="8" spans="1:6" ht="15">
      <c r="A8" s="480" t="s">
        <v>752</v>
      </c>
      <c r="B8" s="591" t="s">
        <v>662</v>
      </c>
      <c r="C8" s="591"/>
      <c r="D8" s="591"/>
      <c r="E8" s="591"/>
      <c r="F8" s="591"/>
    </row>
    <row r="9" spans="1:6" ht="15">
      <c r="A9" s="482" t="s">
        <v>753</v>
      </c>
      <c r="B9" s="483" t="s">
        <v>979</v>
      </c>
      <c r="C9" s="481" t="s">
        <v>665</v>
      </c>
      <c r="D9" s="481" t="s">
        <v>921</v>
      </c>
      <c r="E9" s="481" t="s">
        <v>665</v>
      </c>
      <c r="F9" s="481" t="s">
        <v>883</v>
      </c>
    </row>
    <row r="10" spans="1:6" ht="14.25">
      <c r="A10" s="95" t="s">
        <v>624</v>
      </c>
      <c r="B10" s="93"/>
      <c r="C10" s="94"/>
      <c r="D10" s="94"/>
      <c r="E10" s="94"/>
      <c r="F10" s="94"/>
    </row>
    <row r="11" spans="1:6" s="151" customFormat="1" ht="12.75">
      <c r="A11" s="34" t="s">
        <v>754</v>
      </c>
      <c r="B11" s="97">
        <f>+Hoja18!B27</f>
        <v>9106349</v>
      </c>
      <c r="C11" s="98">
        <f aca="true" t="shared" si="0" ref="C11:C22">+B11/$B$24</f>
        <v>0.1596665324123526</v>
      </c>
      <c r="D11" s="97">
        <f>+Hoja18!D27</f>
        <v>8843089</v>
      </c>
      <c r="E11" s="98">
        <f aca="true" t="shared" si="1" ref="E11:E22">+D11/$D$24</f>
        <v>0.1678334991533632</v>
      </c>
      <c r="F11" s="98">
        <f>+(B11/D11)-1</f>
        <v>0.029770140275643397</v>
      </c>
    </row>
    <row r="12" spans="1:6" s="151" customFormat="1" ht="12.75">
      <c r="A12" s="34" t="s">
        <v>809</v>
      </c>
      <c r="B12" s="134">
        <f>+Hoja20!B17</f>
        <v>760959</v>
      </c>
      <c r="C12" s="221">
        <f t="shared" si="0"/>
        <v>0.013342304894966295</v>
      </c>
      <c r="D12" s="134">
        <f>+Hoja20!D17</f>
        <v>691590</v>
      </c>
      <c r="E12" s="98">
        <f t="shared" si="1"/>
        <v>0.013125726731855176</v>
      </c>
      <c r="F12" s="98">
        <f aca="true" t="shared" si="2" ref="F12:F24">+(B12/D12)-1</f>
        <v>0.10030364811521286</v>
      </c>
    </row>
    <row r="13" spans="1:6" s="151" customFormat="1" ht="12.75">
      <c r="A13" s="34" t="s">
        <v>755</v>
      </c>
      <c r="B13" s="134">
        <f>+Hoja25!B21</f>
        <v>4715948</v>
      </c>
      <c r="C13" s="221">
        <f t="shared" si="0"/>
        <v>0.08268726184302506</v>
      </c>
      <c r="D13" s="134">
        <f>+Hoja25!D21</f>
        <v>4336379</v>
      </c>
      <c r="E13" s="98">
        <f t="shared" si="1"/>
        <v>0.08230038861139607</v>
      </c>
      <c r="F13" s="98">
        <f t="shared" si="2"/>
        <v>0.08753132509865957</v>
      </c>
    </row>
    <row r="14" spans="1:6" s="151" customFormat="1" ht="12.75">
      <c r="A14" s="34" t="s">
        <v>953</v>
      </c>
      <c r="B14" s="134">
        <f>+Hoja27!B24</f>
        <v>1174768</v>
      </c>
      <c r="C14" s="221">
        <f t="shared" si="0"/>
        <v>0.02059784145643821</v>
      </c>
      <c r="D14" s="158">
        <f>+Hoja27!D24</f>
        <v>889260</v>
      </c>
      <c r="E14" s="98">
        <f t="shared" si="1"/>
        <v>0.016877317129469098</v>
      </c>
      <c r="F14" s="98">
        <f t="shared" si="2"/>
        <v>0.32106245642444287</v>
      </c>
    </row>
    <row r="15" spans="1:6" s="151" customFormat="1" ht="12.75">
      <c r="A15" s="34" t="s">
        <v>756</v>
      </c>
      <c r="B15" s="134">
        <f>+Hoja29!B22</f>
        <v>6708491</v>
      </c>
      <c r="C15" s="221">
        <f t="shared" si="0"/>
        <v>0.11762359379038467</v>
      </c>
      <c r="D15" s="134">
        <f>+Hoja29!D22</f>
        <v>6427656</v>
      </c>
      <c r="E15" s="98">
        <f t="shared" si="1"/>
        <v>0.12199085611759758</v>
      </c>
      <c r="F15" s="98">
        <f t="shared" si="2"/>
        <v>0.04369166613770248</v>
      </c>
    </row>
    <row r="16" spans="1:6" s="151" customFormat="1" ht="12.75">
      <c r="A16" s="34" t="s">
        <v>757</v>
      </c>
      <c r="B16" s="134">
        <f>+Hoja31!B22</f>
        <v>237398</v>
      </c>
      <c r="C16" s="221">
        <f t="shared" si="0"/>
        <v>0.0041624272759178986</v>
      </c>
      <c r="D16" s="134">
        <f>+Hoja31!D22</f>
        <v>226442</v>
      </c>
      <c r="E16" s="98">
        <f t="shared" si="1"/>
        <v>0.004297655854790772</v>
      </c>
      <c r="F16" s="98">
        <f>+(B16/D16)-1</f>
        <v>0.0483832504570707</v>
      </c>
    </row>
    <row r="17" spans="1:6" s="151" customFormat="1" ht="12.75">
      <c r="A17" s="34" t="s">
        <v>857</v>
      </c>
      <c r="B17" s="134">
        <f>+Hoja33!B18</f>
        <v>992824</v>
      </c>
      <c r="C17" s="221">
        <f t="shared" si="0"/>
        <v>0.017407719095299506</v>
      </c>
      <c r="D17" s="134">
        <f>+Hoja33!D18</f>
        <v>919805</v>
      </c>
      <c r="E17" s="98">
        <f t="shared" si="1"/>
        <v>0.017457032456504647</v>
      </c>
      <c r="F17" s="98">
        <f t="shared" si="2"/>
        <v>0.07938530449388725</v>
      </c>
    </row>
    <row r="18" spans="1:6" s="151" customFormat="1" ht="12.75">
      <c r="A18" s="34" t="s">
        <v>760</v>
      </c>
      <c r="B18" s="134">
        <f>+Hoja35!B26</f>
        <v>29421202</v>
      </c>
      <c r="C18" s="221">
        <f t="shared" si="0"/>
        <v>0.5158578155464252</v>
      </c>
      <c r="D18" s="134">
        <f>+Hoja35!D26</f>
        <v>26518534</v>
      </c>
      <c r="E18" s="98">
        <f t="shared" si="1"/>
        <v>0.503296795230426</v>
      </c>
      <c r="F18" s="98">
        <f t="shared" si="2"/>
        <v>0.10945808693648007</v>
      </c>
    </row>
    <row r="19" spans="1:6" s="151" customFormat="1" ht="12.75">
      <c r="A19" s="34" t="s">
        <v>859</v>
      </c>
      <c r="B19" s="134">
        <f>+Hoja37!B19</f>
        <v>206000</v>
      </c>
      <c r="C19" s="221">
        <f>+B19/$B$30</f>
        <v>0.030436610218574755</v>
      </c>
      <c r="D19" s="134">
        <f>+Hoja37!D19</f>
        <v>427840</v>
      </c>
      <c r="E19" s="98">
        <f>+D19/$D$30</f>
        <v>0.07205238483221851</v>
      </c>
      <c r="F19" s="98">
        <f>+(B19/D19)-1</f>
        <v>-0.518511593118923</v>
      </c>
    </row>
    <row r="20" spans="1:6" s="151" customFormat="1" ht="12.75">
      <c r="A20" s="34" t="s">
        <v>761</v>
      </c>
      <c r="B20" s="134">
        <f>+Hoja39!B19</f>
        <v>2993782</v>
      </c>
      <c r="C20" s="221">
        <f t="shared" si="0"/>
        <v>0.052491595779880364</v>
      </c>
      <c r="D20" s="134">
        <f>+Hoja39!D19</f>
        <v>2732071</v>
      </c>
      <c r="E20" s="98">
        <f t="shared" si="1"/>
        <v>0.05185213400718099</v>
      </c>
      <c r="F20" s="98">
        <f t="shared" si="2"/>
        <v>0.09579216645541067</v>
      </c>
    </row>
    <row r="21" spans="1:6" s="151" customFormat="1" ht="12.75">
      <c r="A21" s="34" t="s">
        <v>1044</v>
      </c>
      <c r="B21" s="135">
        <f>+Hoja41!B13</f>
        <v>99164</v>
      </c>
      <c r="C21" s="98">
        <f t="shared" si="0"/>
        <v>0.0017386959384203848</v>
      </c>
      <c r="D21" s="135">
        <f>+Hoja41!D13</f>
        <v>80024</v>
      </c>
      <c r="E21" s="98">
        <f t="shared" si="1"/>
        <v>0.001518780138506888</v>
      </c>
      <c r="F21" s="98">
        <f>+(B21/D21)-1</f>
        <v>0.23917824652604214</v>
      </c>
    </row>
    <row r="22" spans="1:6" s="151" customFormat="1" ht="12.75">
      <c r="A22" s="34" t="s">
        <v>762</v>
      </c>
      <c r="B22" s="134">
        <f>+Hoja42!B19</f>
        <v>616664</v>
      </c>
      <c r="C22" s="221">
        <f t="shared" si="0"/>
        <v>0.010812302772881975</v>
      </c>
      <c r="D22" s="134">
        <f>+Hoja42!D19</f>
        <v>596964</v>
      </c>
      <c r="E22" s="98">
        <f t="shared" si="1"/>
        <v>0.011329814388228854</v>
      </c>
      <c r="F22" s="98">
        <f t="shared" si="2"/>
        <v>0.03300031492686317</v>
      </c>
    </row>
    <row r="23" spans="1:6" s="151" customFormat="1" ht="12.75">
      <c r="A23" s="34" t="s">
        <v>763</v>
      </c>
      <c r="B23" s="135" t="s">
        <v>772</v>
      </c>
      <c r="C23" s="135" t="s">
        <v>772</v>
      </c>
      <c r="D23" s="135" t="s">
        <v>772</v>
      </c>
      <c r="E23" s="99" t="s">
        <v>772</v>
      </c>
      <c r="F23" s="99" t="s">
        <v>772</v>
      </c>
    </row>
    <row r="24" spans="1:6" ht="14.25">
      <c r="A24" s="484" t="s">
        <v>674</v>
      </c>
      <c r="B24" s="485">
        <f>SUM(B11:B23)</f>
        <v>57033549</v>
      </c>
      <c r="C24" s="486">
        <f>SUM(C11:C23)</f>
        <v>1.026824701024567</v>
      </c>
      <c r="D24" s="485">
        <f>SUM(D11:D23)</f>
        <v>52689654</v>
      </c>
      <c r="E24" s="486">
        <f>SUM(E11:E23)</f>
        <v>1.0639323846515376</v>
      </c>
      <c r="F24" s="487">
        <f t="shared" si="2"/>
        <v>0.0824430352114287</v>
      </c>
    </row>
    <row r="25" spans="1:6" s="151" customFormat="1" ht="12.75">
      <c r="A25" s="34"/>
      <c r="B25" s="97"/>
      <c r="C25" s="98"/>
      <c r="D25" s="97"/>
      <c r="E25" s="98"/>
      <c r="F25" s="98"/>
    </row>
    <row r="26" spans="1:6" ht="15">
      <c r="A26" s="96" t="s">
        <v>623</v>
      </c>
      <c r="B26" s="27"/>
      <c r="C26" s="27"/>
      <c r="D26" s="27"/>
      <c r="E26" s="27"/>
      <c r="F26" s="27"/>
    </row>
    <row r="27" spans="1:6" s="151" customFormat="1" ht="12.75">
      <c r="A27" s="34" t="s">
        <v>1045</v>
      </c>
      <c r="B27" s="134">
        <f>+Hoja22!B36+Hoja24!B13</f>
        <v>6768165</v>
      </c>
      <c r="C27" s="221">
        <f>+B27/$B$30</f>
        <v>1</v>
      </c>
      <c r="D27" s="134">
        <f>+Hoja22!D36+Hoja24!C13</f>
        <v>5937902</v>
      </c>
      <c r="E27" s="98">
        <f>+D27/$D$30</f>
        <v>1</v>
      </c>
      <c r="F27" s="98">
        <f>+(B27/D27)-1</f>
        <v>0.13982430157991832</v>
      </c>
    </row>
    <row r="28" spans="1:6" s="151" customFormat="1" ht="12.75">
      <c r="A28" s="34" t="s">
        <v>758</v>
      </c>
      <c r="B28" s="135" t="s">
        <v>772</v>
      </c>
      <c r="C28" s="135" t="s">
        <v>772</v>
      </c>
      <c r="D28" s="135" t="s">
        <v>772</v>
      </c>
      <c r="E28" s="99" t="s">
        <v>772</v>
      </c>
      <c r="F28" s="99" t="s">
        <v>772</v>
      </c>
    </row>
    <row r="29" spans="1:6" s="151" customFormat="1" ht="12.75">
      <c r="A29" s="34" t="s">
        <v>759</v>
      </c>
      <c r="B29" s="135" t="s">
        <v>772</v>
      </c>
      <c r="C29" s="135" t="s">
        <v>772</v>
      </c>
      <c r="D29" s="135" t="s">
        <v>772</v>
      </c>
      <c r="E29" s="99" t="s">
        <v>772</v>
      </c>
      <c r="F29" s="99" t="s">
        <v>772</v>
      </c>
    </row>
    <row r="30" spans="1:6" ht="14.25">
      <c r="A30" s="484" t="s">
        <v>674</v>
      </c>
      <c r="B30" s="485">
        <f>SUM(B27:B29)</f>
        <v>6768165</v>
      </c>
      <c r="C30" s="486">
        <f>SUM(C27:C29)</f>
        <v>1</v>
      </c>
      <c r="D30" s="485">
        <f>SUM(D27:D29)</f>
        <v>5937902</v>
      </c>
      <c r="E30" s="486">
        <f>SUM(E27:E29)</f>
        <v>1</v>
      </c>
      <c r="F30" s="486">
        <f>+(B30/D30)-1</f>
        <v>0.13982430157991832</v>
      </c>
    </row>
    <row r="31" spans="1:6" ht="14.25">
      <c r="A31" s="2"/>
      <c r="B31" s="81"/>
      <c r="C31" s="82"/>
      <c r="D31" s="81"/>
      <c r="E31" s="82"/>
      <c r="F31" s="59"/>
    </row>
    <row r="32" spans="1:6" ht="15">
      <c r="A32" s="480" t="s">
        <v>875</v>
      </c>
      <c r="B32" s="591" t="s">
        <v>662</v>
      </c>
      <c r="C32" s="591"/>
      <c r="D32" s="591"/>
      <c r="E32" s="591"/>
      <c r="F32" s="591"/>
    </row>
    <row r="33" spans="1:6" ht="15">
      <c r="A33" s="482" t="s">
        <v>876</v>
      </c>
      <c r="B33" s="483" t="s">
        <v>979</v>
      </c>
      <c r="C33" s="481" t="s">
        <v>665</v>
      </c>
      <c r="D33" s="481" t="s">
        <v>921</v>
      </c>
      <c r="E33" s="481" t="s">
        <v>665</v>
      </c>
      <c r="F33" s="481" t="s">
        <v>883</v>
      </c>
    </row>
    <row r="34" spans="1:6" ht="14.25">
      <c r="A34" s="95" t="s">
        <v>624</v>
      </c>
      <c r="B34" s="93"/>
      <c r="C34" s="94"/>
      <c r="D34" s="94"/>
      <c r="E34" s="94"/>
      <c r="F34" s="94"/>
    </row>
    <row r="35" spans="1:6" s="151" customFormat="1" ht="12.75">
      <c r="A35" s="101" t="s">
        <v>954</v>
      </c>
      <c r="B35" s="135">
        <f>+Hoja45!B23</f>
        <v>1277988</v>
      </c>
      <c r="C35" s="222">
        <f>+B35/B39</f>
        <v>0.0659640210888646</v>
      </c>
      <c r="D35" s="135">
        <f>+Hoja45!D23</f>
        <v>407541</v>
      </c>
      <c r="E35" s="102">
        <f>+D35/D39</f>
        <v>0.02273227890341594</v>
      </c>
      <c r="F35" s="103">
        <f>+(B35/D35)-1</f>
        <v>2.1358513621942334</v>
      </c>
    </row>
    <row r="36" spans="1:6" s="151" customFormat="1" ht="12.75">
      <c r="A36" s="101" t="s">
        <v>1067</v>
      </c>
      <c r="B36" s="135">
        <f>+Hoja50!B12</f>
        <v>2239000</v>
      </c>
      <c r="C36" s="222">
        <f>+B36/B39</f>
        <v>0.11556715964310135</v>
      </c>
      <c r="D36" s="135">
        <f>+Hoja50!D12</f>
        <v>2252700</v>
      </c>
      <c r="E36" s="102">
        <f>+D36/D39</f>
        <v>0.12565362671663732</v>
      </c>
      <c r="F36" s="98">
        <f>+(B36/D36)-1</f>
        <v>-0.0060815909797132806</v>
      </c>
    </row>
    <row r="37" spans="1:6" s="151" customFormat="1" ht="12.75">
      <c r="A37" s="101" t="s">
        <v>1046</v>
      </c>
      <c r="B37" s="134">
        <f>+Hoja52!B29</f>
        <v>4968961</v>
      </c>
      <c r="C37" s="222">
        <f>+B37/B39</f>
        <v>0.25647552887331154</v>
      </c>
      <c r="D37" s="134">
        <f>+Hoja52!D29</f>
        <v>4630205</v>
      </c>
      <c r="E37" s="102">
        <f>+D37/D39</f>
        <v>0.2582687666762142</v>
      </c>
      <c r="F37" s="98">
        <f>+(B37/D37)-1</f>
        <v>0.07316220340136126</v>
      </c>
    </row>
    <row r="38" spans="1:6" s="151" customFormat="1" ht="12.75">
      <c r="A38" s="101" t="s">
        <v>958</v>
      </c>
      <c r="B38" s="135">
        <f>+Hoja54!B32</f>
        <v>10888067</v>
      </c>
      <c r="C38" s="222">
        <f>+B38/B39</f>
        <v>0.5619932903947225</v>
      </c>
      <c r="D38" s="135">
        <f>+Hoja54!D32</f>
        <v>10637409</v>
      </c>
      <c r="E38" s="102">
        <f>+D38/D39</f>
        <v>0.5933453277037325</v>
      </c>
      <c r="F38" s="98">
        <f>+(B38/D38)-1</f>
        <v>0.02356382085148745</v>
      </c>
    </row>
    <row r="39" spans="1:6" ht="14.25">
      <c r="A39" s="484" t="s">
        <v>674</v>
      </c>
      <c r="B39" s="485">
        <f>SUM(B35:B38)</f>
        <v>19374016</v>
      </c>
      <c r="C39" s="486">
        <f>SUM(C35:C38)</f>
        <v>1</v>
      </c>
      <c r="D39" s="485">
        <f>SUM(D35:D38)</f>
        <v>17927855</v>
      </c>
      <c r="E39" s="486">
        <f>SUM(E35:E38)</f>
        <v>1</v>
      </c>
      <c r="F39" s="487">
        <f>+(B39/D39)-1</f>
        <v>0.08066558994369366</v>
      </c>
    </row>
    <row r="40" spans="1:6" s="151" customFormat="1" ht="12.75">
      <c r="A40" s="34"/>
      <c r="B40" s="97"/>
      <c r="C40" s="98"/>
      <c r="D40" s="97"/>
      <c r="E40" s="98"/>
      <c r="F40" s="98"/>
    </row>
    <row r="41" spans="1:6" ht="15">
      <c r="A41" s="96" t="s">
        <v>623</v>
      </c>
      <c r="B41" s="27"/>
      <c r="C41" s="27"/>
      <c r="D41" s="27"/>
      <c r="E41" s="27"/>
      <c r="F41" s="27"/>
    </row>
    <row r="42" spans="1:6" s="151" customFormat="1" ht="12.75">
      <c r="A42" s="101" t="s">
        <v>764</v>
      </c>
      <c r="B42" s="134">
        <f>+Hoja47!B36</f>
        <v>6529308</v>
      </c>
      <c r="C42" s="222">
        <f>+B42/$B$45</f>
        <v>0.6085488458342327</v>
      </c>
      <c r="D42" s="134">
        <f>+Hoja47!D36</f>
        <v>5827940</v>
      </c>
      <c r="E42" s="102">
        <f>+D42/$D$45</f>
        <v>0.5811702104320529</v>
      </c>
      <c r="F42" s="103">
        <f>+(B42/D42)-1</f>
        <v>0.12034578255781625</v>
      </c>
    </row>
    <row r="43" spans="1:6" s="151" customFormat="1" ht="12.75">
      <c r="A43" s="101" t="s">
        <v>1073</v>
      </c>
      <c r="B43" s="134">
        <f>+Hoja49!B30</f>
        <v>4200000</v>
      </c>
      <c r="C43" s="222">
        <f>+B43/$B$45</f>
        <v>0.39145115416576726</v>
      </c>
      <c r="D43" s="135">
        <v>4200000</v>
      </c>
      <c r="E43" s="102">
        <f>+D43/$D$45</f>
        <v>0.41882978956794714</v>
      </c>
      <c r="F43" s="103">
        <f>+(B43/D43)-1</f>
        <v>0</v>
      </c>
    </row>
    <row r="44" spans="1:6" s="151" customFormat="1" ht="12.75">
      <c r="A44" s="101" t="s">
        <v>790</v>
      </c>
      <c r="B44" s="135" t="s">
        <v>772</v>
      </c>
      <c r="C44" s="135" t="s">
        <v>772</v>
      </c>
      <c r="D44" s="135" t="s">
        <v>772</v>
      </c>
      <c r="E44" s="99" t="s">
        <v>772</v>
      </c>
      <c r="F44" s="99" t="s">
        <v>772</v>
      </c>
    </row>
    <row r="45" spans="1:6" ht="14.25">
      <c r="A45" s="484" t="s">
        <v>674</v>
      </c>
      <c r="B45" s="485">
        <f>SUM(B42:B44)</f>
        <v>10729308</v>
      </c>
      <c r="C45" s="486">
        <f>SUM(C42:C44)</f>
        <v>1</v>
      </c>
      <c r="D45" s="485">
        <f>SUM(D42:D44)</f>
        <v>10027940</v>
      </c>
      <c r="E45" s="486">
        <f>SUM(E42:E44)</f>
        <v>1</v>
      </c>
      <c r="F45" s="486">
        <f>+(B45/D45)-1</f>
        <v>0.06994138377373615</v>
      </c>
    </row>
    <row r="46" spans="1:6" ht="14.25">
      <c r="A46" s="2"/>
      <c r="B46" s="81"/>
      <c r="C46" s="82"/>
      <c r="D46" s="81"/>
      <c r="E46" s="82"/>
      <c r="F46" s="59"/>
    </row>
    <row r="47" spans="1:6" ht="14.25">
      <c r="A47" s="484" t="s">
        <v>674</v>
      </c>
      <c r="B47" s="485">
        <f>+B24+B30+B39+B45</f>
        <v>93905038</v>
      </c>
      <c r="C47" s="486"/>
      <c r="D47" s="485">
        <f>+D24+D30+D39+D45</f>
        <v>86583351</v>
      </c>
      <c r="E47" s="486"/>
      <c r="F47" s="486">
        <f>+(B47/D47)-1</f>
        <v>0.08456229650894431</v>
      </c>
    </row>
    <row r="48" spans="1:6" ht="14.25">
      <c r="A48" s="484" t="s">
        <v>782</v>
      </c>
      <c r="B48" s="485">
        <f>+B24+B30+B39+B45-B36</f>
        <v>91666038</v>
      </c>
      <c r="C48" s="486"/>
      <c r="D48" s="485">
        <f>+D24+D30+D39+D45-D36</f>
        <v>84330651</v>
      </c>
      <c r="E48" s="486"/>
      <c r="F48" s="486">
        <f>+(B48/D48)-1</f>
        <v>0.08698364014763738</v>
      </c>
    </row>
    <row r="49" spans="1:6" ht="7.5" customHeight="1">
      <c r="A49" s="2"/>
      <c r="B49" s="28"/>
      <c r="C49" s="28"/>
      <c r="D49" s="28"/>
      <c r="E49" s="28"/>
      <c r="F49" s="59"/>
    </row>
    <row r="50" spans="1:6" ht="12.75" customHeight="1">
      <c r="A50" s="66" t="s">
        <v>1163</v>
      </c>
      <c r="B50" s="133"/>
      <c r="C50" s="66"/>
      <c r="D50" s="133"/>
      <c r="E50" s="66"/>
      <c r="F50" s="66"/>
    </row>
    <row r="51" spans="1:6" ht="25.5" customHeight="1">
      <c r="A51" s="520" t="s">
        <v>1164</v>
      </c>
      <c r="B51" s="520"/>
      <c r="C51" s="520"/>
      <c r="D51" s="520"/>
      <c r="E51" s="520"/>
      <c r="F51" s="520"/>
    </row>
    <row r="52" spans="1:6" ht="12.75" customHeight="1">
      <c r="A52" s="66" t="s">
        <v>1068</v>
      </c>
      <c r="B52" s="133"/>
      <c r="C52" s="66"/>
      <c r="D52" s="133"/>
      <c r="E52" s="66"/>
      <c r="F52" s="66"/>
    </row>
    <row r="53" spans="1:6" ht="39" customHeight="1">
      <c r="A53" s="520" t="s">
        <v>1165</v>
      </c>
      <c r="B53" s="520"/>
      <c r="C53" s="520"/>
      <c r="D53" s="520"/>
      <c r="E53" s="520"/>
      <c r="F53" s="520"/>
    </row>
    <row r="54" spans="1:6" ht="15">
      <c r="A54" s="28"/>
      <c r="B54" s="31"/>
      <c r="C54" s="28"/>
      <c r="D54" s="31"/>
      <c r="E54" s="28"/>
      <c r="F54" s="28"/>
    </row>
    <row r="55" spans="1:6" ht="15">
      <c r="A55" s="28"/>
      <c r="B55" s="28"/>
      <c r="C55" s="28"/>
      <c r="D55" s="28"/>
      <c r="E55" s="28"/>
      <c r="F55" s="28"/>
    </row>
    <row r="56" spans="1:6" ht="15">
      <c r="A56" s="28"/>
      <c r="B56" s="28"/>
      <c r="C56" s="28"/>
      <c r="D56" s="28"/>
      <c r="E56" s="28"/>
      <c r="F56" s="28"/>
    </row>
    <row r="57" spans="1:6" ht="15">
      <c r="A57" s="28"/>
      <c r="B57" s="28"/>
      <c r="C57" s="28"/>
      <c r="D57" s="28"/>
      <c r="E57" s="28"/>
      <c r="F57" s="28"/>
    </row>
    <row r="58" spans="1:6" ht="15">
      <c r="A58" s="28"/>
      <c r="B58" s="31"/>
      <c r="C58" s="28"/>
      <c r="D58" s="28"/>
      <c r="E58" s="28"/>
      <c r="F58" s="28"/>
    </row>
    <row r="59" spans="1:6" ht="15">
      <c r="A59" s="28"/>
      <c r="B59" s="28"/>
      <c r="C59" s="28"/>
      <c r="D59" s="28"/>
      <c r="E59" s="28"/>
      <c r="F59" s="28"/>
    </row>
    <row r="60" spans="1:6" ht="15">
      <c r="A60" s="28"/>
      <c r="B60" s="28"/>
      <c r="C60" s="28"/>
      <c r="D60" s="28"/>
      <c r="E60" s="28"/>
      <c r="F60" s="28"/>
    </row>
    <row r="61" spans="1:6" ht="15">
      <c r="A61" s="28"/>
      <c r="B61" s="28"/>
      <c r="C61" s="28"/>
      <c r="D61" s="28"/>
      <c r="E61" s="28"/>
      <c r="F61" s="28"/>
    </row>
    <row r="62" spans="1:6" ht="15">
      <c r="A62" s="28"/>
      <c r="B62" s="28"/>
      <c r="C62" s="28"/>
      <c r="D62" s="28"/>
      <c r="E62" s="28"/>
      <c r="F62" s="28"/>
    </row>
    <row r="63" spans="1:6" ht="15">
      <c r="A63" s="28"/>
      <c r="B63" s="28"/>
      <c r="C63" s="28"/>
      <c r="D63" s="28"/>
      <c r="E63" s="28"/>
      <c r="F63" s="28"/>
    </row>
    <row r="64" spans="1:6" ht="15">
      <c r="A64" s="28"/>
      <c r="B64" s="28"/>
      <c r="C64" s="28"/>
      <c r="D64" s="28"/>
      <c r="E64" s="28"/>
      <c r="F64" s="28"/>
    </row>
    <row r="65" spans="1:6" ht="15">
      <c r="A65" s="28"/>
      <c r="B65" s="28"/>
      <c r="C65" s="28"/>
      <c r="D65" s="28"/>
      <c r="E65" s="28"/>
      <c r="F65" s="28"/>
    </row>
    <row r="66" spans="1:6" ht="15">
      <c r="A66" s="28"/>
      <c r="B66" s="28"/>
      <c r="C66" s="28"/>
      <c r="D66" s="28"/>
      <c r="E66" s="28"/>
      <c r="F66" s="28"/>
    </row>
    <row r="67" spans="1:6" ht="15">
      <c r="A67" s="28"/>
      <c r="B67" s="28"/>
      <c r="C67" s="28"/>
      <c r="D67" s="28"/>
      <c r="E67" s="28"/>
      <c r="F67" s="28"/>
    </row>
    <row r="68" spans="1:6" ht="15">
      <c r="A68" s="28"/>
      <c r="B68" s="28"/>
      <c r="C68" s="28"/>
      <c r="D68" s="28"/>
      <c r="E68" s="28"/>
      <c r="F68" s="28"/>
    </row>
  </sheetData>
  <mergeCells count="6">
    <mergeCell ref="A53:F53"/>
    <mergeCell ref="A5:F5"/>
    <mergeCell ref="A6:F6"/>
    <mergeCell ref="B32:F32"/>
    <mergeCell ref="B8:F8"/>
    <mergeCell ref="A51:F51"/>
  </mergeCells>
  <printOptions horizontalCentered="1"/>
  <pageMargins left="0.75" right="0.75" top="1" bottom="1" header="0" footer="0"/>
  <pageSetup horizontalDpi="300" verticalDpi="300" orientation="portrait" scale="90" r:id="rId1"/>
  <headerFooter alignWithMargins="0">
    <oddFooter>&amp;C56</oddFooter>
  </headerFooter>
</worksheet>
</file>

<file path=xl/worksheets/sheet43.xml><?xml version="1.0" encoding="utf-8"?>
<worksheet xmlns="http://schemas.openxmlformats.org/spreadsheetml/2006/main" xmlns:r="http://schemas.openxmlformats.org/officeDocument/2006/relationships">
  <dimension ref="A1:F56"/>
  <sheetViews>
    <sheetView workbookViewId="0" topLeftCell="A1">
      <selection activeCell="A5" sqref="A5:F5"/>
    </sheetView>
  </sheetViews>
  <sheetFormatPr defaultColWidth="11.421875" defaultRowHeight="12.75"/>
  <cols>
    <col min="1" max="1" width="30.8515625" style="0" customWidth="1"/>
    <col min="2" max="2" width="17.8515625" style="0" customWidth="1"/>
    <col min="3" max="3" width="14.28125" style="0" customWidth="1"/>
    <col min="4" max="4" width="17.8515625" style="0" customWidth="1"/>
    <col min="5" max="5" width="14.28125" style="0" customWidth="1"/>
    <col min="6" max="6" width="12.710937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75">
      <c r="A5" s="582" t="s">
        <v>980</v>
      </c>
      <c r="B5" s="583"/>
      <c r="C5" s="583"/>
      <c r="D5" s="583"/>
      <c r="E5" s="583"/>
      <c r="F5" s="584"/>
    </row>
    <row r="6" spans="1:6" ht="20.25" thickBot="1">
      <c r="A6" s="592" t="s">
        <v>981</v>
      </c>
      <c r="B6" s="593"/>
      <c r="C6" s="593"/>
      <c r="D6" s="593"/>
      <c r="E6" s="593"/>
      <c r="F6" s="594"/>
    </row>
    <row r="7" spans="1:6" ht="15">
      <c r="A7" s="22"/>
      <c r="B7" s="2"/>
      <c r="C7" s="2"/>
      <c r="D7" s="2"/>
      <c r="E7" s="5"/>
      <c r="F7" s="5"/>
    </row>
    <row r="8" spans="1:6" ht="14.25">
      <c r="A8" s="480" t="s">
        <v>752</v>
      </c>
      <c r="B8" s="480" t="s">
        <v>735</v>
      </c>
      <c r="C8" s="480" t="s">
        <v>712</v>
      </c>
      <c r="D8" s="480" t="s">
        <v>735</v>
      </c>
      <c r="E8" s="480" t="s">
        <v>712</v>
      </c>
      <c r="F8" s="480" t="s">
        <v>713</v>
      </c>
    </row>
    <row r="9" spans="1:6" ht="15">
      <c r="A9" s="488" t="s">
        <v>753</v>
      </c>
      <c r="B9" s="488" t="s">
        <v>736</v>
      </c>
      <c r="C9" s="489" t="s">
        <v>715</v>
      </c>
      <c r="D9" s="488" t="s">
        <v>736</v>
      </c>
      <c r="E9" s="489" t="s">
        <v>715</v>
      </c>
      <c r="F9" s="490" t="s">
        <v>900</v>
      </c>
    </row>
    <row r="10" spans="1:6" ht="15">
      <c r="A10" s="482"/>
      <c r="B10" s="491" t="s">
        <v>979</v>
      </c>
      <c r="C10" s="482" t="s">
        <v>716</v>
      </c>
      <c r="D10" s="492" t="s">
        <v>921</v>
      </c>
      <c r="E10" s="482" t="s">
        <v>716</v>
      </c>
      <c r="F10" s="492"/>
    </row>
    <row r="11" spans="1:6" s="100" customFormat="1" ht="14.25">
      <c r="A11" s="95" t="s">
        <v>624</v>
      </c>
      <c r="B11" s="93"/>
      <c r="C11" s="94"/>
      <c r="D11" s="94"/>
      <c r="E11" s="94"/>
      <c r="F11" s="94"/>
    </row>
    <row r="12" spans="1:6" s="151" customFormat="1" ht="12.75">
      <c r="A12" s="34" t="s">
        <v>754</v>
      </c>
      <c r="B12" s="97">
        <f>+Hoja19!B28</f>
        <v>11408978</v>
      </c>
      <c r="C12" s="98">
        <f aca="true" t="shared" si="0" ref="C12:C23">+B12/$B$25</f>
        <v>0.12321651849869444</v>
      </c>
      <c r="D12" s="97">
        <f>+Hoja19!D28</f>
        <v>20786258</v>
      </c>
      <c r="E12" s="98">
        <f aca="true" t="shared" si="1" ref="E12:E23">+D12/$D$25</f>
        <v>0.21758284867189404</v>
      </c>
      <c r="F12" s="98">
        <f>+(B12/D12)-1</f>
        <v>-0.4511288178949766</v>
      </c>
    </row>
    <row r="13" spans="1:6" s="151" customFormat="1" ht="12.75">
      <c r="A13" s="34" t="s">
        <v>809</v>
      </c>
      <c r="B13" s="134">
        <f>+Hoja21!B18</f>
        <v>1143839</v>
      </c>
      <c r="C13" s="221">
        <f t="shared" si="0"/>
        <v>0.012353416695433031</v>
      </c>
      <c r="D13" s="134">
        <f>+Hoja21!D18</f>
        <v>935626</v>
      </c>
      <c r="E13" s="98">
        <f t="shared" si="1"/>
        <v>0.009793786374223274</v>
      </c>
      <c r="F13" s="98">
        <f aca="true" t="shared" si="2" ref="F13:F25">+(B13/D13)-1</f>
        <v>0.22253870670545717</v>
      </c>
    </row>
    <row r="14" spans="1:6" s="151" customFormat="1" ht="12.75">
      <c r="A14" s="34" t="s">
        <v>755</v>
      </c>
      <c r="B14" s="134">
        <f>+Hoja26!B22</f>
        <v>5481964.1230247235</v>
      </c>
      <c r="C14" s="221">
        <f>+B14/$B$25</f>
        <v>0.059204999236027546</v>
      </c>
      <c r="D14" s="134">
        <f>+Hoja26!D22</f>
        <v>4955370</v>
      </c>
      <c r="E14" s="98">
        <f>+D14/$D$25</f>
        <v>0.05187097749018816</v>
      </c>
      <c r="F14" s="98">
        <f t="shared" si="2"/>
        <v>0.10626736712389251</v>
      </c>
    </row>
    <row r="15" spans="1:6" s="151" customFormat="1" ht="12.75">
      <c r="A15" s="34" t="s">
        <v>953</v>
      </c>
      <c r="B15" s="135">
        <f>+Hoja28!B25</f>
        <v>136272.01</v>
      </c>
      <c r="C15" s="221">
        <f t="shared" si="0"/>
        <v>0.0014717324059192046</v>
      </c>
      <c r="D15" s="158">
        <f>+Hoja28!D25</f>
        <v>20876.569999999996</v>
      </c>
      <c r="E15" s="98">
        <f>+D15/$D$25</f>
        <v>0.00021852820123267026</v>
      </c>
      <c r="F15" s="98">
        <f t="shared" si="2"/>
        <v>5.527509547784911</v>
      </c>
    </row>
    <row r="16" spans="1:6" s="151" customFormat="1" ht="12.75">
      <c r="A16" s="34" t="s">
        <v>756</v>
      </c>
      <c r="B16" s="134">
        <f>+Hoja30!B23</f>
        <v>35515270</v>
      </c>
      <c r="C16" s="221">
        <f t="shared" si="0"/>
        <v>0.3835635341694171</v>
      </c>
      <c r="D16" s="134">
        <v>35460770</v>
      </c>
      <c r="E16" s="98">
        <f>+D16/$D$25</f>
        <v>0.3711902042541202</v>
      </c>
      <c r="F16" s="98">
        <f t="shared" si="2"/>
        <v>0.001536909661014052</v>
      </c>
    </row>
    <row r="17" spans="1:6" s="151" customFormat="1" ht="12.75">
      <c r="A17" s="34" t="s">
        <v>757</v>
      </c>
      <c r="B17" s="134">
        <f>+Hoja32!B23</f>
        <v>14265.197</v>
      </c>
      <c r="C17" s="221">
        <f t="shared" si="0"/>
        <v>0.00015406357256872794</v>
      </c>
      <c r="D17" s="134">
        <f>+Hoja32!D23</f>
        <v>13429.547</v>
      </c>
      <c r="E17" s="98">
        <f>+D17/$D$25</f>
        <v>0.00014057552314770117</v>
      </c>
      <c r="F17" s="98">
        <f>+(B17/D17)-1</f>
        <v>0.06222473475836532</v>
      </c>
    </row>
    <row r="18" spans="1:6" s="151" customFormat="1" ht="12.75">
      <c r="A18" s="34" t="s">
        <v>858</v>
      </c>
      <c r="B18" s="134">
        <f>+Hoja34!B19</f>
        <v>1088295.8809999998</v>
      </c>
      <c r="C18" s="221">
        <f t="shared" si="0"/>
        <v>0.011753553171308547</v>
      </c>
      <c r="D18" s="134">
        <f>+Hoja34!D19</f>
        <v>779718.112</v>
      </c>
      <c r="E18" s="98">
        <f t="shared" si="1"/>
        <v>0.008161800357237504</v>
      </c>
      <c r="F18" s="98">
        <f t="shared" si="2"/>
        <v>0.39575554838464466</v>
      </c>
    </row>
    <row r="19" spans="1:6" s="151" customFormat="1" ht="12.75">
      <c r="A19" s="34" t="s">
        <v>760</v>
      </c>
      <c r="B19" s="134">
        <f>+Hoja36!B27</f>
        <v>31748135.37109375</v>
      </c>
      <c r="C19" s="221">
        <f t="shared" si="0"/>
        <v>0.3428786267491644</v>
      </c>
      <c r="D19" s="134">
        <f>+Hoja36!D27</f>
        <v>27146106.41431004</v>
      </c>
      <c r="E19" s="98">
        <f t="shared" si="1"/>
        <v>0.28415538592737344</v>
      </c>
      <c r="F19" s="98">
        <f t="shared" si="2"/>
        <v>0.16952814103601077</v>
      </c>
    </row>
    <row r="20" spans="1:6" s="151" customFormat="1" ht="12.75">
      <c r="A20" s="34" t="s">
        <v>860</v>
      </c>
      <c r="B20" s="134">
        <f>+Hoja38!B20</f>
        <v>451450</v>
      </c>
      <c r="C20" s="221">
        <f t="shared" si="0"/>
        <v>0.004875642434952158</v>
      </c>
      <c r="D20" s="134">
        <f>+Hoja38!D20</f>
        <v>599056</v>
      </c>
      <c r="E20" s="98">
        <f>+D20/$D$31</f>
        <v>0.0076855542426643615</v>
      </c>
      <c r="F20" s="98">
        <f>+(B20/D20)-1</f>
        <v>-0.24639766566063936</v>
      </c>
    </row>
    <row r="21" spans="1:6" s="151" customFormat="1" ht="12.75">
      <c r="A21" s="34" t="s">
        <v>761</v>
      </c>
      <c r="B21" s="134">
        <f>+Hoja40!B20</f>
        <v>4526603.585657371</v>
      </c>
      <c r="C21" s="221">
        <f t="shared" si="0"/>
        <v>0.04888714260369404</v>
      </c>
      <c r="D21" s="134">
        <f>+Hoja40!D20</f>
        <v>3622078</v>
      </c>
      <c r="E21" s="98">
        <f t="shared" si="1"/>
        <v>0.03791457073956248</v>
      </c>
      <c r="F21" s="98">
        <f t="shared" si="2"/>
        <v>0.24972559554415197</v>
      </c>
    </row>
    <row r="22" spans="1:6" s="151" customFormat="1" ht="12.75">
      <c r="A22" s="34" t="s">
        <v>1044</v>
      </c>
      <c r="B22" s="135">
        <f>+Hoja41!B19</f>
        <v>184489</v>
      </c>
      <c r="C22" s="221">
        <f t="shared" si="0"/>
        <v>0.0019924740218892206</v>
      </c>
      <c r="D22" s="135">
        <f>+Hoja41!D19</f>
        <v>167924</v>
      </c>
      <c r="E22" s="98">
        <f t="shared" si="1"/>
        <v>0.00175776622614706</v>
      </c>
      <c r="F22" s="98">
        <f>+(B22/D22)-1</f>
        <v>0.09864581596436484</v>
      </c>
    </row>
    <row r="23" spans="1:6" s="151" customFormat="1" ht="12.75">
      <c r="A23" s="34" t="s">
        <v>762</v>
      </c>
      <c r="B23" s="134">
        <f>+Hoja43!B20</f>
        <v>893364</v>
      </c>
      <c r="C23" s="221">
        <f t="shared" si="0"/>
        <v>0.009648296440931665</v>
      </c>
      <c r="D23" s="134">
        <f>+Hoja43!D20</f>
        <v>1045400</v>
      </c>
      <c r="E23" s="98">
        <f t="shared" si="1"/>
        <v>0.010942859941486248</v>
      </c>
      <c r="F23" s="98">
        <f t="shared" si="2"/>
        <v>-0.14543332695618905</v>
      </c>
    </row>
    <row r="24" spans="1:6" s="151" customFormat="1" ht="12.75">
      <c r="A24" s="34" t="s">
        <v>763</v>
      </c>
      <c r="B24" s="135" t="s">
        <v>772</v>
      </c>
      <c r="C24" s="135" t="s">
        <v>772</v>
      </c>
      <c r="D24" s="135" t="s">
        <v>772</v>
      </c>
      <c r="E24" s="99" t="s">
        <v>772</v>
      </c>
      <c r="F24" s="99" t="s">
        <v>772</v>
      </c>
    </row>
    <row r="25" spans="1:6" ht="14.25">
      <c r="A25" s="484" t="s">
        <v>674</v>
      </c>
      <c r="B25" s="485">
        <f>SUM(B12:B24)</f>
        <v>92592926.16777584</v>
      </c>
      <c r="C25" s="487">
        <f>SUM(C12:C24)</f>
        <v>1.0000000000000002</v>
      </c>
      <c r="D25" s="485">
        <f>SUM(D12:D24)</f>
        <v>95532612.64331004</v>
      </c>
      <c r="E25" s="487">
        <f>SUM(E12:E24)</f>
        <v>1.0014148579492772</v>
      </c>
      <c r="F25" s="487">
        <f t="shared" si="2"/>
        <v>-0.03077154904692181</v>
      </c>
    </row>
    <row r="26" spans="1:6" s="151" customFormat="1" ht="12.75">
      <c r="A26" s="34"/>
      <c r="B26" s="97"/>
      <c r="C26" s="98"/>
      <c r="D26" s="97"/>
      <c r="E26" s="98"/>
      <c r="F26" s="98"/>
    </row>
    <row r="27" spans="1:6" s="100" customFormat="1" ht="15">
      <c r="A27" s="96" t="s">
        <v>623</v>
      </c>
      <c r="B27" s="27"/>
      <c r="C27" s="27"/>
      <c r="D27" s="27"/>
      <c r="E27" s="27"/>
      <c r="F27" s="27"/>
    </row>
    <row r="28" spans="1:6" s="151" customFormat="1" ht="12.75">
      <c r="A28" s="34" t="s">
        <v>1050</v>
      </c>
      <c r="B28" s="134">
        <f>+Hoja23!B36+Hoja24!B14</f>
        <v>56052863.217821784</v>
      </c>
      <c r="C28" s="221">
        <f>+B28/$B$31</f>
        <v>1</v>
      </c>
      <c r="D28" s="134">
        <f>+Hoja23!D36+Hoja24!C14</f>
        <v>77945712.31759655</v>
      </c>
      <c r="E28" s="98">
        <f>+D28/$D$31</f>
        <v>1</v>
      </c>
      <c r="F28" s="98">
        <f>+(B28/D28)-1</f>
        <v>-0.28087303905275074</v>
      </c>
    </row>
    <row r="29" spans="1:6" s="151" customFormat="1" ht="12.75">
      <c r="A29" s="34" t="s">
        <v>758</v>
      </c>
      <c r="B29" s="135" t="s">
        <v>772</v>
      </c>
      <c r="C29" s="135" t="s">
        <v>772</v>
      </c>
      <c r="D29" s="135" t="s">
        <v>772</v>
      </c>
      <c r="E29" s="99" t="s">
        <v>772</v>
      </c>
      <c r="F29" s="99" t="s">
        <v>772</v>
      </c>
    </row>
    <row r="30" spans="1:6" s="151" customFormat="1" ht="12.75">
      <c r="A30" s="34" t="s">
        <v>759</v>
      </c>
      <c r="B30" s="135" t="s">
        <v>772</v>
      </c>
      <c r="C30" s="135" t="s">
        <v>772</v>
      </c>
      <c r="D30" s="135" t="s">
        <v>772</v>
      </c>
      <c r="E30" s="99" t="s">
        <v>772</v>
      </c>
      <c r="F30" s="99" t="s">
        <v>772</v>
      </c>
    </row>
    <row r="31" spans="1:6" ht="14.25">
      <c r="A31" s="484" t="s">
        <v>674</v>
      </c>
      <c r="B31" s="485">
        <f>SUM(B28:B30)</f>
        <v>56052863.217821784</v>
      </c>
      <c r="C31" s="486">
        <f>SUM(C28:C30)</f>
        <v>1</v>
      </c>
      <c r="D31" s="485">
        <f>SUM(D28:D30)</f>
        <v>77945712.31759655</v>
      </c>
      <c r="E31" s="486">
        <f>SUM(E28:E30)</f>
        <v>1</v>
      </c>
      <c r="F31" s="486">
        <f>+(B31/D31)-1</f>
        <v>-0.28087303905275074</v>
      </c>
    </row>
    <row r="32" spans="1:6" ht="14.25">
      <c r="A32" s="2"/>
      <c r="B32" s="81"/>
      <c r="C32" s="82"/>
      <c r="D32" s="81"/>
      <c r="E32" s="82"/>
      <c r="F32" s="59"/>
    </row>
    <row r="33" spans="1:6" ht="14.25">
      <c r="A33" s="480" t="s">
        <v>875</v>
      </c>
      <c r="B33" s="480" t="s">
        <v>735</v>
      </c>
      <c r="C33" s="480" t="s">
        <v>712</v>
      </c>
      <c r="D33" s="480" t="s">
        <v>735</v>
      </c>
      <c r="E33" s="480" t="s">
        <v>712</v>
      </c>
      <c r="F33" s="480" t="s">
        <v>713</v>
      </c>
    </row>
    <row r="34" spans="1:6" ht="15">
      <c r="A34" s="488" t="s">
        <v>876</v>
      </c>
      <c r="B34" s="488" t="s">
        <v>736</v>
      </c>
      <c r="C34" s="489" t="s">
        <v>715</v>
      </c>
      <c r="D34" s="488" t="s">
        <v>736</v>
      </c>
      <c r="E34" s="489" t="s">
        <v>715</v>
      </c>
      <c r="F34" s="490" t="s">
        <v>900</v>
      </c>
    </row>
    <row r="35" spans="1:6" ht="15">
      <c r="A35" s="482"/>
      <c r="B35" s="491" t="s">
        <v>979</v>
      </c>
      <c r="C35" s="482" t="s">
        <v>716</v>
      </c>
      <c r="D35" s="492" t="s">
        <v>921</v>
      </c>
      <c r="E35" s="482" t="s">
        <v>716</v>
      </c>
      <c r="F35" s="492"/>
    </row>
    <row r="36" spans="1:6" s="100" customFormat="1" ht="14.25">
      <c r="A36" s="95" t="s">
        <v>624</v>
      </c>
      <c r="B36" s="93"/>
      <c r="C36" s="94"/>
      <c r="D36" s="94"/>
      <c r="E36" s="94"/>
      <c r="F36" s="94"/>
    </row>
    <row r="37" spans="1:6" s="151" customFormat="1" ht="12.75">
      <c r="A37" s="101" t="s">
        <v>954</v>
      </c>
      <c r="B37" s="135">
        <f>+Hoja46!B24</f>
        <v>121030</v>
      </c>
      <c r="C37" s="221">
        <f>+B37/B41</f>
        <v>0.01251729967922345</v>
      </c>
      <c r="D37" s="135">
        <f>+Hoja46!D24</f>
        <v>44181.464679196375</v>
      </c>
      <c r="E37" s="98">
        <f>+D37/D41</f>
        <v>0.0064444002190737655</v>
      </c>
      <c r="F37" s="98">
        <f>+(B37/D37)-1</f>
        <v>1.739384057971014</v>
      </c>
    </row>
    <row r="38" spans="1:6" s="151" customFormat="1" ht="12.75">
      <c r="A38" s="101" t="s">
        <v>1069</v>
      </c>
      <c r="B38" s="135">
        <f>+Hoja51!B13</f>
        <v>1442836.3518758086</v>
      </c>
      <c r="C38" s="221">
        <f>+B38/B41</f>
        <v>0.14922263078994455</v>
      </c>
      <c r="D38" s="134">
        <f>+Hoja51!D13</f>
        <v>1154285.2483079182</v>
      </c>
      <c r="E38" s="98">
        <f>+D38/D41</f>
        <v>0.16836644418834298</v>
      </c>
      <c r="F38" s="98">
        <f>+(B38/D38)-1</f>
        <v>0.24998249262119665</v>
      </c>
    </row>
    <row r="39" spans="1:6" s="151" customFormat="1" ht="12.75">
      <c r="A39" s="101" t="s">
        <v>1046</v>
      </c>
      <c r="B39" s="134">
        <f>+Hoja53!B30</f>
        <v>1431580</v>
      </c>
      <c r="C39" s="221">
        <f>+B39/B41</f>
        <v>0.1480584638088301</v>
      </c>
      <c r="D39" s="134">
        <f>+Hoja53!D30</f>
        <v>1203801.91</v>
      </c>
      <c r="E39" s="98">
        <f>+D39/D41</f>
        <v>0.17558904732686026</v>
      </c>
      <c r="F39" s="98">
        <f>+(B39/D39)-1</f>
        <v>0.18921559112661668</v>
      </c>
    </row>
    <row r="40" spans="1:6" s="151" customFormat="1" ht="12.75">
      <c r="A40" s="101" t="s">
        <v>958</v>
      </c>
      <c r="B40" s="135">
        <f>+Hoja55!B33</f>
        <v>6673571.9748875</v>
      </c>
      <c r="C40" s="221">
        <f>+B40/B41</f>
        <v>0.690201605722002</v>
      </c>
      <c r="D40" s="135">
        <f>+Hoja55!D33</f>
        <v>4453522.9444625005</v>
      </c>
      <c r="E40" s="98">
        <f>+D40/D41</f>
        <v>0.6496001082657229</v>
      </c>
      <c r="F40" s="98">
        <f>+(B40/D40)-1</f>
        <v>0.49849277933672775</v>
      </c>
    </row>
    <row r="41" spans="1:6" ht="14.25">
      <c r="A41" s="484" t="s">
        <v>674</v>
      </c>
      <c r="B41" s="485">
        <f>SUM(B37:B40)</f>
        <v>9669018.326763308</v>
      </c>
      <c r="C41" s="487">
        <f>SUM(C37:C40)</f>
        <v>1</v>
      </c>
      <c r="D41" s="485">
        <f>SUM(D37:D40)</f>
        <v>6855791.567449615</v>
      </c>
      <c r="E41" s="487">
        <f>SUM(E37:E40)</f>
        <v>0.9999999999999999</v>
      </c>
      <c r="F41" s="487">
        <f>+(B41/D41)-1</f>
        <v>0.4103430992083421</v>
      </c>
    </row>
    <row r="42" spans="1:6" s="151" customFormat="1" ht="12.75">
      <c r="A42" s="34"/>
      <c r="B42" s="97"/>
      <c r="C42" s="98"/>
      <c r="D42" s="97"/>
      <c r="E42" s="98"/>
      <c r="F42" s="98"/>
    </row>
    <row r="43" spans="1:6" s="100" customFormat="1" ht="15">
      <c r="A43" s="96" t="s">
        <v>623</v>
      </c>
      <c r="B43" s="27"/>
      <c r="C43" s="27"/>
      <c r="D43" s="27"/>
      <c r="E43" s="27"/>
      <c r="F43" s="27"/>
    </row>
    <row r="44" spans="1:6" s="151" customFormat="1" ht="12.75">
      <c r="A44" s="101" t="s">
        <v>764</v>
      </c>
      <c r="B44" s="134">
        <f>+Hoja48!B37</f>
        <v>50094478.34235734</v>
      </c>
      <c r="C44" s="221">
        <f>+B44/$B$47</f>
        <v>0.9688052243662788</v>
      </c>
      <c r="D44" s="134">
        <f>+Hoja48!D37</f>
        <v>38714919.17675117</v>
      </c>
      <c r="E44" s="98">
        <f>+D44/$D$47</f>
        <v>0.9600100845797128</v>
      </c>
      <c r="F44" s="98">
        <f>+(B44/D44)-1</f>
        <v>0.29393214315270355</v>
      </c>
    </row>
    <row r="45" spans="1:6" s="151" customFormat="1" ht="12.75">
      <c r="A45" s="101" t="s">
        <v>1073</v>
      </c>
      <c r="B45" s="134">
        <f>+Hoja49!B28</f>
        <v>1613003.2880451647</v>
      </c>
      <c r="C45" s="221">
        <f>+B45/$B$47</f>
        <v>0.031194775633721163</v>
      </c>
      <c r="D45" s="135">
        <v>1612698</v>
      </c>
      <c r="E45" s="98">
        <f>+D45/$D$47</f>
        <v>0.03998991542028719</v>
      </c>
      <c r="F45" s="98">
        <f>+(B45/D45)-1</f>
        <v>0.00018930267487449193</v>
      </c>
    </row>
    <row r="46" spans="1:6" s="151" customFormat="1" ht="12.75">
      <c r="A46" s="101" t="s">
        <v>790</v>
      </c>
      <c r="B46" s="135" t="s">
        <v>772</v>
      </c>
      <c r="C46" s="135" t="s">
        <v>772</v>
      </c>
      <c r="D46" s="135" t="s">
        <v>772</v>
      </c>
      <c r="E46" s="99" t="s">
        <v>772</v>
      </c>
      <c r="F46" s="99" t="s">
        <v>772</v>
      </c>
    </row>
    <row r="47" spans="1:6" ht="14.25">
      <c r="A47" s="484" t="s">
        <v>674</v>
      </c>
      <c r="B47" s="485">
        <f>SUM(B44:B46)</f>
        <v>51707481.630402505</v>
      </c>
      <c r="C47" s="486">
        <f>SUM(C44:C46)</f>
        <v>1</v>
      </c>
      <c r="D47" s="485">
        <f>SUM(D44:D46)</f>
        <v>40327617.17675117</v>
      </c>
      <c r="E47" s="486">
        <f>SUM(E44:E46)</f>
        <v>1</v>
      </c>
      <c r="F47" s="486">
        <f>+(B47/D47)-1</f>
        <v>0.28218539180668034</v>
      </c>
    </row>
    <row r="48" spans="1:6" ht="14.25">
      <c r="A48" s="2"/>
      <c r="B48" s="81"/>
      <c r="C48" s="82"/>
      <c r="D48" s="81"/>
      <c r="E48" s="82"/>
      <c r="F48" s="59"/>
    </row>
    <row r="49" spans="1:6" ht="14.25">
      <c r="A49" s="484" t="s">
        <v>773</v>
      </c>
      <c r="B49" s="485">
        <f>+B25+B31+B41+B47</f>
        <v>210022289.34276342</v>
      </c>
      <c r="C49" s="486"/>
      <c r="D49" s="485">
        <f>+D25+D31+D41+D47</f>
        <v>220661733.7051074</v>
      </c>
      <c r="E49" s="486"/>
      <c r="F49" s="486">
        <f>+(B49/D49)-1</f>
        <v>-0.04821608252458731</v>
      </c>
    </row>
    <row r="50" spans="1:6" ht="14.25">
      <c r="A50" s="484" t="s">
        <v>782</v>
      </c>
      <c r="B50" s="485">
        <f>+B25+B31+B41+B47-B38</f>
        <v>208579452.9908876</v>
      </c>
      <c r="C50" s="486"/>
      <c r="D50" s="485">
        <f>+D25+D31+D41+D47-D38</f>
        <v>219507448.45679948</v>
      </c>
      <c r="E50" s="486"/>
      <c r="F50" s="486">
        <f>+(B50/D50)-1</f>
        <v>-0.049784166973552924</v>
      </c>
    </row>
    <row r="51" ht="4.5" customHeight="1"/>
    <row r="52" spans="1:6" ht="12.75" customHeight="1">
      <c r="A52" s="154" t="s">
        <v>628</v>
      </c>
      <c r="B52" s="34"/>
      <c r="C52" s="34"/>
      <c r="D52" s="34"/>
      <c r="E52" s="34"/>
      <c r="F52" s="34"/>
    </row>
    <row r="53" spans="1:6" ht="26.25" customHeight="1">
      <c r="A53" s="520" t="s">
        <v>1166</v>
      </c>
      <c r="B53" s="520"/>
      <c r="C53" s="520"/>
      <c r="D53" s="520"/>
      <c r="E53" s="520"/>
      <c r="F53" s="520"/>
    </row>
    <row r="54" spans="1:6" ht="24.75" customHeight="1">
      <c r="A54" s="520" t="s">
        <v>1070</v>
      </c>
      <c r="B54" s="520"/>
      <c r="C54" s="520"/>
      <c r="D54" s="520"/>
      <c r="E54" s="520"/>
      <c r="F54" s="520"/>
    </row>
    <row r="55" spans="1:6" ht="39.75" customHeight="1">
      <c r="A55" s="520" t="s">
        <v>1071</v>
      </c>
      <c r="B55" s="520"/>
      <c r="C55" s="520"/>
      <c r="D55" s="520"/>
      <c r="E55" s="520"/>
      <c r="F55" s="520"/>
    </row>
    <row r="56" spans="2:4" ht="12.75">
      <c r="B56" s="36"/>
      <c r="D56" s="36"/>
    </row>
  </sheetData>
  <mergeCells count="5">
    <mergeCell ref="A55:F55"/>
    <mergeCell ref="A5:F5"/>
    <mergeCell ref="A6:F6"/>
    <mergeCell ref="A54:F54"/>
    <mergeCell ref="A53:F53"/>
  </mergeCells>
  <printOptions horizontalCentered="1"/>
  <pageMargins left="0.75" right="0.75" top="1" bottom="1" header="0" footer="0"/>
  <pageSetup horizontalDpi="300" verticalDpi="300" orientation="portrait" scale="90" r:id="rId1"/>
  <headerFooter alignWithMargins="0">
    <oddFooter>&amp;C57</oddFooter>
  </headerFooter>
</worksheet>
</file>

<file path=xl/worksheets/sheet44.xml><?xml version="1.0" encoding="utf-8"?>
<worksheet xmlns="http://schemas.openxmlformats.org/spreadsheetml/2006/main" xmlns:r="http://schemas.openxmlformats.org/officeDocument/2006/relationships">
  <dimension ref="B9:B9"/>
  <sheetViews>
    <sheetView workbookViewId="0" topLeftCell="A1">
      <selection activeCell="C21" sqref="C21"/>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&amp;C58</oddFooter>
  </headerFooter>
</worksheet>
</file>

<file path=xl/worksheets/sheet45.xml><?xml version="1.0" encoding="utf-8"?>
<worksheet xmlns="http://schemas.openxmlformats.org/spreadsheetml/2006/main" xmlns:r="http://schemas.openxmlformats.org/officeDocument/2006/relationships">
  <dimension ref="A8:G18"/>
  <sheetViews>
    <sheetView workbookViewId="0" topLeftCell="A1">
      <selection activeCell="B9" sqref="B9:F9"/>
    </sheetView>
  </sheetViews>
  <sheetFormatPr defaultColWidth="11.421875" defaultRowHeight="12.75"/>
  <cols>
    <col min="1" max="1" width="0.42578125" style="0" customWidth="1"/>
    <col min="6" max="6" width="26.00390625" style="0" customWidth="1"/>
    <col min="7" max="7" width="0.42578125" style="0" customWidth="1"/>
  </cols>
  <sheetData>
    <row r="8" spans="1:7" ht="2.25" customHeight="1">
      <c r="A8" s="479"/>
      <c r="B8" s="493"/>
      <c r="C8" s="494"/>
      <c r="D8" s="493"/>
      <c r="E8" s="493"/>
      <c r="F8" s="493"/>
      <c r="G8" s="479"/>
    </row>
    <row r="9" spans="1:7" ht="30">
      <c r="A9" s="478"/>
      <c r="B9" s="533" t="s">
        <v>639</v>
      </c>
      <c r="C9" s="533"/>
      <c r="D9" s="533"/>
      <c r="E9" s="533"/>
      <c r="F9" s="533"/>
      <c r="G9" s="478"/>
    </row>
    <row r="10" spans="1:7" ht="12.75">
      <c r="A10" s="478"/>
      <c r="B10" s="471"/>
      <c r="C10" s="471"/>
      <c r="D10" s="471"/>
      <c r="E10" s="471"/>
      <c r="F10" s="471"/>
      <c r="G10" s="478"/>
    </row>
    <row r="11" spans="1:7" ht="12.75">
      <c r="A11" s="478"/>
      <c r="B11" s="532" t="s">
        <v>640</v>
      </c>
      <c r="C11" s="532"/>
      <c r="D11" s="532"/>
      <c r="E11" s="532"/>
      <c r="F11" s="532"/>
      <c r="G11" s="478"/>
    </row>
    <row r="12" spans="1:7" ht="12.75">
      <c r="A12" s="478"/>
      <c r="B12" s="532"/>
      <c r="C12" s="532"/>
      <c r="D12" s="532"/>
      <c r="E12" s="532"/>
      <c r="F12" s="532"/>
      <c r="G12" s="478"/>
    </row>
    <row r="13" spans="1:7" ht="12.75">
      <c r="A13" s="478"/>
      <c r="B13" s="532"/>
      <c r="C13" s="532"/>
      <c r="D13" s="532"/>
      <c r="E13" s="532"/>
      <c r="F13" s="532"/>
      <c r="G13" s="478"/>
    </row>
    <row r="14" spans="1:7" ht="12.75">
      <c r="A14" s="478"/>
      <c r="B14" s="532"/>
      <c r="C14" s="532"/>
      <c r="D14" s="532"/>
      <c r="E14" s="532"/>
      <c r="F14" s="532"/>
      <c r="G14" s="478"/>
    </row>
    <row r="15" spans="1:7" ht="12.75">
      <c r="A15" s="478"/>
      <c r="B15" s="532"/>
      <c r="C15" s="532"/>
      <c r="D15" s="532"/>
      <c r="E15" s="532"/>
      <c r="F15" s="532"/>
      <c r="G15" s="478"/>
    </row>
    <row r="16" spans="1:7" ht="12.75">
      <c r="A16" s="478"/>
      <c r="B16" s="532"/>
      <c r="C16" s="532"/>
      <c r="D16" s="532"/>
      <c r="E16" s="532"/>
      <c r="F16" s="532"/>
      <c r="G16" s="478"/>
    </row>
    <row r="17" spans="1:7" ht="32.25" customHeight="1">
      <c r="A17" s="478"/>
      <c r="B17" s="532"/>
      <c r="C17" s="532"/>
      <c r="D17" s="532"/>
      <c r="E17" s="532"/>
      <c r="F17" s="532"/>
      <c r="G17" s="478"/>
    </row>
    <row r="18" spans="1:7" ht="2.25" customHeight="1">
      <c r="A18" s="479"/>
      <c r="B18" s="493"/>
      <c r="C18" s="493"/>
      <c r="D18" s="493"/>
      <c r="E18" s="493"/>
      <c r="F18" s="493"/>
      <c r="G18" s="479"/>
    </row>
  </sheetData>
  <mergeCells count="2">
    <mergeCell ref="B9:F9"/>
    <mergeCell ref="B11:F17"/>
  </mergeCells>
  <printOptions horizontalCentered="1"/>
  <pageMargins left="0.75" right="0.75" top="0.9448818897637796" bottom="1" header="0" footer="0"/>
  <pageSetup horizontalDpi="300" verticalDpi="300" orientation="portrait" scale="90" r:id="rId1"/>
  <headerFooter alignWithMargins="0">
    <oddFooter>&amp;C59</oddFooter>
  </headerFooter>
</worksheet>
</file>

<file path=xl/worksheets/sheet46.xml><?xml version="1.0" encoding="utf-8"?>
<worksheet xmlns="http://schemas.openxmlformats.org/spreadsheetml/2006/main" xmlns:r="http://schemas.openxmlformats.org/officeDocument/2006/relationships">
  <dimension ref="A1:J44"/>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7" max="7" width="17.421875" style="0" bestFit="1" customWidth="1"/>
    <col min="10" max="10" width="11.7109375" style="0" bestFit="1" customWidth="1"/>
  </cols>
  <sheetData>
    <row r="1" spans="1:8" ht="12.75">
      <c r="A1" s="1" t="s">
        <v>658</v>
      </c>
      <c r="B1" s="1"/>
      <c r="C1" s="1"/>
      <c r="D1" s="1"/>
      <c r="E1" s="47"/>
      <c r="F1" s="47"/>
      <c r="G1" s="47"/>
      <c r="H1" s="47"/>
    </row>
    <row r="2" spans="1:8" ht="12.75">
      <c r="A2" s="1" t="s">
        <v>659</v>
      </c>
      <c r="B2" s="1"/>
      <c r="C2" s="1"/>
      <c r="D2" s="1"/>
      <c r="E2" s="47"/>
      <c r="F2" s="47"/>
      <c r="G2" s="47"/>
      <c r="H2" s="47"/>
    </row>
    <row r="3" spans="1:8" ht="13.5" thickBot="1">
      <c r="A3" s="47"/>
      <c r="B3" s="47"/>
      <c r="C3" s="47"/>
      <c r="D3" s="47"/>
      <c r="E3" s="47"/>
      <c r="F3" s="47"/>
      <c r="G3" s="47"/>
      <c r="H3" s="47"/>
    </row>
    <row r="4" spans="1:8" ht="18.75" thickBot="1">
      <c r="A4" s="579" t="s">
        <v>660</v>
      </c>
      <c r="B4" s="580"/>
      <c r="C4" s="580"/>
      <c r="D4" s="580"/>
      <c r="E4" s="580"/>
      <c r="F4" s="581"/>
      <c r="G4" s="47"/>
      <c r="H4" s="47"/>
    </row>
    <row r="5" spans="1:8" ht="15.75">
      <c r="A5" s="525" t="s">
        <v>1080</v>
      </c>
      <c r="B5" s="525"/>
      <c r="C5" s="525"/>
      <c r="D5" s="525"/>
      <c r="E5" s="525"/>
      <c r="F5" s="525"/>
      <c r="G5" s="64"/>
      <c r="H5" s="64"/>
    </row>
    <row r="6" spans="1:8" ht="15.75">
      <c r="A6" s="526" t="s">
        <v>1081</v>
      </c>
      <c r="B6" s="526"/>
      <c r="C6" s="526"/>
      <c r="D6" s="526"/>
      <c r="E6" s="526"/>
      <c r="F6" s="526"/>
      <c r="G6" s="61"/>
      <c r="H6" s="61"/>
    </row>
    <row r="7" spans="1:8" ht="15.75">
      <c r="A7" s="6"/>
      <c r="B7" s="5"/>
      <c r="C7" s="5"/>
      <c r="D7" s="5"/>
      <c r="E7" s="5"/>
      <c r="F7" s="5"/>
      <c r="G7" s="5"/>
      <c r="H7" s="5"/>
    </row>
    <row r="8" spans="1:8" ht="15">
      <c r="A8" s="5"/>
      <c r="B8" s="230" t="s">
        <v>1082</v>
      </c>
      <c r="C8" s="2"/>
      <c r="D8" s="230" t="s">
        <v>1082</v>
      </c>
      <c r="E8" s="2"/>
      <c r="F8" s="47"/>
      <c r="G8" s="47"/>
      <c r="H8" s="47"/>
    </row>
    <row r="9" spans="1:8" ht="15">
      <c r="A9" s="5"/>
      <c r="B9" s="231" t="s">
        <v>1083</v>
      </c>
      <c r="C9" s="2"/>
      <c r="D9" s="231" t="s">
        <v>1083</v>
      </c>
      <c r="E9" s="2"/>
      <c r="F9" s="232"/>
      <c r="G9" s="232"/>
      <c r="H9" s="232"/>
    </row>
    <row r="10" spans="1:8" ht="15">
      <c r="A10" s="5"/>
      <c r="B10" s="233" t="s">
        <v>979</v>
      </c>
      <c r="C10" s="233" t="s">
        <v>665</v>
      </c>
      <c r="D10" s="233" t="s">
        <v>921</v>
      </c>
      <c r="E10" s="233" t="s">
        <v>665</v>
      </c>
      <c r="F10" s="233" t="s">
        <v>883</v>
      </c>
      <c r="G10" s="230"/>
      <c r="H10" s="230"/>
    </row>
    <row r="11" spans="1:10" ht="15">
      <c r="A11" s="2" t="s">
        <v>1090</v>
      </c>
      <c r="B11" s="155">
        <f>SUM(B12:B14)</f>
        <v>8859829</v>
      </c>
      <c r="C11" s="156">
        <f>B11/B33</f>
        <v>0.7765665384868896</v>
      </c>
      <c r="D11" s="155">
        <f>SUM(D12:D14)</f>
        <v>14449007</v>
      </c>
      <c r="E11" s="156">
        <f>SUM(E12:E14)</f>
        <v>0.6951230806008027</v>
      </c>
      <c r="F11" s="156">
        <f>+(B11-D11)/D11</f>
        <v>-0.3868209074851995</v>
      </c>
      <c r="G11" s="156"/>
      <c r="H11" s="156"/>
      <c r="J11" s="90">
        <f>SUM(J12:J14)</f>
        <v>9015897519</v>
      </c>
    </row>
    <row r="12" spans="1:10" ht="15">
      <c r="A12" s="234" t="s">
        <v>1091</v>
      </c>
      <c r="B12" s="105">
        <v>8606883</v>
      </c>
      <c r="C12" s="235">
        <f>+B12/$B$33</f>
        <v>0.7543957494520104</v>
      </c>
      <c r="D12" s="105">
        <v>13559301</v>
      </c>
      <c r="E12" s="235">
        <f>+D12/$D$33</f>
        <v>0.6523204730895034</v>
      </c>
      <c r="F12" s="235">
        <f>+(B12/D12)-1</f>
        <v>-0.36524139408071254</v>
      </c>
      <c r="G12" s="235"/>
      <c r="H12" s="235"/>
      <c r="J12" s="36">
        <v>8141465542</v>
      </c>
    </row>
    <row r="13" spans="1:10" ht="22.5">
      <c r="A13" s="236" t="s">
        <v>1092</v>
      </c>
      <c r="B13" s="105">
        <v>142726</v>
      </c>
      <c r="C13" s="235">
        <f>+B13/$B$33</f>
        <v>0.012509974602453367</v>
      </c>
      <c r="D13" s="105">
        <v>569250</v>
      </c>
      <c r="E13" s="235">
        <f>+D13/$D$33</f>
        <v>0.027385882893683072</v>
      </c>
      <c r="F13" s="235">
        <f>+(B13/D13)-1</f>
        <v>-0.7492736056214317</v>
      </c>
      <c r="G13" s="235"/>
      <c r="H13" s="235"/>
      <c r="J13" s="36">
        <v>637630250</v>
      </c>
    </row>
    <row r="14" spans="1:10" ht="15">
      <c r="A14" s="234" t="s">
        <v>1093</v>
      </c>
      <c r="B14" s="105">
        <v>110220</v>
      </c>
      <c r="C14" s="235">
        <f>+B14/$B$33</f>
        <v>0.009660814432425837</v>
      </c>
      <c r="D14" s="105">
        <v>320456</v>
      </c>
      <c r="E14" s="235">
        <f>+D14/$D$33</f>
        <v>0.015416724617616341</v>
      </c>
      <c r="F14" s="235">
        <f>+(B14/D14)-1</f>
        <v>-0.6560526250093617</v>
      </c>
      <c r="G14" s="235"/>
      <c r="H14" s="235"/>
      <c r="J14" s="36">
        <v>236801727</v>
      </c>
    </row>
    <row r="15" spans="1:10" ht="15">
      <c r="A15" s="2" t="s">
        <v>1094</v>
      </c>
      <c r="B15" s="155">
        <f>SUM(B16:B19)</f>
        <v>867569</v>
      </c>
      <c r="C15" s="156">
        <f>B15/B33</f>
        <v>0.07604267026243197</v>
      </c>
      <c r="D15" s="155">
        <f>SUM(D16:D19)</f>
        <v>2479520</v>
      </c>
      <c r="E15" s="156">
        <f>SUM(E16:E19)</f>
        <v>0.11928650742651743</v>
      </c>
      <c r="F15" s="156">
        <f>+(B15-D15)/D15</f>
        <v>-0.6501060689165645</v>
      </c>
      <c r="G15" s="156"/>
      <c r="H15" s="156"/>
      <c r="J15" s="90">
        <f>SUM(J16:J19)</f>
        <v>3792884301</v>
      </c>
    </row>
    <row r="16" spans="1:10" ht="15">
      <c r="A16" s="234" t="s">
        <v>1095</v>
      </c>
      <c r="B16" s="105">
        <v>33711</v>
      </c>
      <c r="C16" s="235">
        <f>+B16/$B$33</f>
        <v>0.0029547787636681855</v>
      </c>
      <c r="D16" s="105">
        <v>280491</v>
      </c>
      <c r="E16" s="235">
        <f>+D16/$D$33</f>
        <v>0.013494060041690046</v>
      </c>
      <c r="F16" s="235">
        <f>+(B16/D16)-1</f>
        <v>-0.8798143255933345</v>
      </c>
      <c r="G16" s="235"/>
      <c r="H16" s="235"/>
      <c r="J16" s="36">
        <v>238659864</v>
      </c>
    </row>
    <row r="17" spans="1:10" ht="15">
      <c r="A17" s="234" t="s">
        <v>1096</v>
      </c>
      <c r="B17" s="105">
        <v>87078</v>
      </c>
      <c r="C17" s="235">
        <f>+B17/$B$33</f>
        <v>0.007632411532814163</v>
      </c>
      <c r="D17" s="105">
        <v>70717</v>
      </c>
      <c r="E17" s="235">
        <f>+D17/$D$33</f>
        <v>0.003402103611054169</v>
      </c>
      <c r="F17" s="235">
        <f>+(B17/D17)-1</f>
        <v>0.23135879632902978</v>
      </c>
      <c r="G17" s="235"/>
      <c r="H17" s="235"/>
      <c r="J17" s="36">
        <v>105466191</v>
      </c>
    </row>
    <row r="18" spans="1:10" ht="15">
      <c r="A18" s="234" t="s">
        <v>1097</v>
      </c>
      <c r="B18" s="105">
        <v>716710</v>
      </c>
      <c r="C18" s="235">
        <f>+B18/$B$33</f>
        <v>0.06281983589061806</v>
      </c>
      <c r="D18" s="105">
        <v>1953345</v>
      </c>
      <c r="E18" s="235">
        <f>+D18/$D$33</f>
        <v>0.0939729071953647</v>
      </c>
      <c r="F18" s="235">
        <f>+(B18/D18)-1</f>
        <v>-0.63308580921445</v>
      </c>
      <c r="G18" s="235"/>
      <c r="H18" s="235"/>
      <c r="J18" s="36">
        <v>3199540626</v>
      </c>
    </row>
    <row r="19" spans="1:10" ht="22.5">
      <c r="A19" s="236" t="s">
        <v>1098</v>
      </c>
      <c r="B19" s="105">
        <v>30070</v>
      </c>
      <c r="C19" s="235">
        <f>+B19/$B$33</f>
        <v>0.0026356440753315634</v>
      </c>
      <c r="D19" s="105">
        <v>174967</v>
      </c>
      <c r="E19" s="235">
        <f>+D19/$D$33</f>
        <v>0.008417436578408512</v>
      </c>
      <c r="F19" s="235">
        <f>+(B19/D19)-1</f>
        <v>-0.8281390205010087</v>
      </c>
      <c r="G19" s="235"/>
      <c r="H19" s="235"/>
      <c r="J19" s="36">
        <v>249217620</v>
      </c>
    </row>
    <row r="20" spans="1:10" ht="15">
      <c r="A20" s="2" t="s">
        <v>1099</v>
      </c>
      <c r="B20" s="155">
        <f>SUM(B21:B27)</f>
        <v>520386</v>
      </c>
      <c r="C20" s="156">
        <f>B20/B33</f>
        <v>0.04561198130314237</v>
      </c>
      <c r="D20" s="155">
        <f>SUM(D21:D27)</f>
        <v>3011156</v>
      </c>
      <c r="E20" s="156">
        <f>SUM(E21:E25)</f>
        <v>0.13129997382405115</v>
      </c>
      <c r="F20" s="156">
        <f>+(B20-D20)/D20</f>
        <v>-0.8271806575282051</v>
      </c>
      <c r="G20" s="156"/>
      <c r="H20" s="156"/>
      <c r="J20" s="90">
        <f>SUM(J21:J25)</f>
        <v>3739557648</v>
      </c>
    </row>
    <row r="21" spans="1:10" ht="15">
      <c r="A21" s="234" t="s">
        <v>1100</v>
      </c>
      <c r="B21" s="105">
        <v>291698</v>
      </c>
      <c r="C21" s="235">
        <f aca="true" t="shared" si="0" ref="C21:C27">+B21/$B$33</f>
        <v>0.025567412886134566</v>
      </c>
      <c r="D21" s="105">
        <v>2263934</v>
      </c>
      <c r="E21" s="235">
        <f aca="true" t="shared" si="1" ref="E21:E27">+D21/$D$33</f>
        <v>0.10891494317615721</v>
      </c>
      <c r="F21" s="235">
        <f>+(B21/D21)-1</f>
        <v>-0.8711543711079917</v>
      </c>
      <c r="G21" s="235"/>
      <c r="H21" s="235"/>
      <c r="J21" s="36">
        <v>2597395454</v>
      </c>
    </row>
    <row r="22" spans="1:10" ht="15">
      <c r="A22" s="234" t="s">
        <v>1101</v>
      </c>
      <c r="B22" s="105">
        <v>125887</v>
      </c>
      <c r="C22" s="235">
        <f t="shared" si="0"/>
        <v>0.011034031450324727</v>
      </c>
      <c r="D22" s="105">
        <v>409746</v>
      </c>
      <c r="E22" s="235">
        <f t="shared" si="1"/>
        <v>0.019712351290566647</v>
      </c>
      <c r="F22" s="235">
        <f>+(B22/D22)-1</f>
        <v>-0.6927682027402342</v>
      </c>
      <c r="G22" s="235"/>
      <c r="H22" s="235"/>
      <c r="J22" s="36">
        <v>1054645419</v>
      </c>
    </row>
    <row r="23" spans="1:10" ht="22.5">
      <c r="A23" s="236" t="s">
        <v>1102</v>
      </c>
      <c r="B23" s="105">
        <v>837</v>
      </c>
      <c r="C23" s="235">
        <f t="shared" si="0"/>
        <v>7.336328869479609E-05</v>
      </c>
      <c r="D23" s="105">
        <v>2836</v>
      </c>
      <c r="E23" s="235">
        <f t="shared" si="1"/>
        <v>0.00013643630019584575</v>
      </c>
      <c r="F23" s="235">
        <f>+(B23/D23)-1</f>
        <v>-0.7048660084626235</v>
      </c>
      <c r="G23" s="235"/>
      <c r="H23" s="235"/>
      <c r="J23" s="36">
        <v>40779595</v>
      </c>
    </row>
    <row r="24" spans="1:10" ht="15">
      <c r="A24" s="234" t="s">
        <v>1103</v>
      </c>
      <c r="B24" s="105">
        <v>424</v>
      </c>
      <c r="C24" s="235">
        <f t="shared" si="0"/>
        <v>3.716372091588237E-05</v>
      </c>
      <c r="D24" s="105">
        <v>4441</v>
      </c>
      <c r="E24" s="235">
        <f t="shared" si="1"/>
        <v>0.00021365077897381909</v>
      </c>
      <c r="F24" s="235">
        <f>+(B24/D24)-1</f>
        <v>-0.9045260076559334</v>
      </c>
      <c r="G24" s="235"/>
      <c r="H24" s="235"/>
      <c r="J24" s="36">
        <v>14151149</v>
      </c>
    </row>
    <row r="25" spans="1:10" ht="15">
      <c r="A25" s="234" t="s">
        <v>1104</v>
      </c>
      <c r="B25" s="105">
        <v>17217</v>
      </c>
      <c r="C25" s="235">
        <f t="shared" si="0"/>
        <v>0.0015090749599262897</v>
      </c>
      <c r="D25" s="105">
        <v>48278</v>
      </c>
      <c r="E25" s="235">
        <f t="shared" si="1"/>
        <v>0.0023225922781576307</v>
      </c>
      <c r="F25" s="235">
        <f>+(B25/D25)-1</f>
        <v>-0.6433779361199718</v>
      </c>
      <c r="G25" s="235"/>
      <c r="H25" s="235"/>
      <c r="J25" s="36">
        <v>32586031</v>
      </c>
    </row>
    <row r="26" spans="1:10" s="151" customFormat="1" ht="15">
      <c r="A26" s="234" t="s">
        <v>1105</v>
      </c>
      <c r="B26" s="105">
        <v>84200</v>
      </c>
      <c r="C26" s="235">
        <f t="shared" si="0"/>
        <v>0.007380154012069094</v>
      </c>
      <c r="D26" s="105">
        <v>281391</v>
      </c>
      <c r="E26" s="235">
        <f t="shared" si="1"/>
        <v>0.013537357880257133</v>
      </c>
      <c r="F26" s="235">
        <v>0</v>
      </c>
      <c r="G26" s="235"/>
      <c r="H26" s="235"/>
      <c r="J26" s="190"/>
    </row>
    <row r="27" spans="1:10" s="151" customFormat="1" ht="33.75">
      <c r="A27" s="236" t="s">
        <v>1106</v>
      </c>
      <c r="B27" s="105">
        <v>123</v>
      </c>
      <c r="C27" s="235">
        <f t="shared" si="0"/>
        <v>1.0780985077013047E-05</v>
      </c>
      <c r="D27" s="105">
        <v>530</v>
      </c>
      <c r="E27" s="235">
        <f t="shared" si="1"/>
        <v>2.5497616045062853E-05</v>
      </c>
      <c r="F27" s="235">
        <v>0</v>
      </c>
      <c r="G27" s="235"/>
      <c r="H27" s="235"/>
      <c r="J27" s="190"/>
    </row>
    <row r="28" spans="1:10" ht="15">
      <c r="A28" s="2" t="s">
        <v>1107</v>
      </c>
      <c r="B28" s="155">
        <f>SUM(B29:B30)</f>
        <v>1017944</v>
      </c>
      <c r="C28" s="156">
        <f>B28/B33</f>
        <v>0.08922308189621926</v>
      </c>
      <c r="D28" s="155">
        <f>SUM(D30:D30)</f>
        <v>383049</v>
      </c>
      <c r="E28" s="156">
        <f>SUM(E30:E30)</f>
        <v>0.018427993072538264</v>
      </c>
      <c r="F28" s="156">
        <f>+(B28-D28)/D28</f>
        <v>1.6574772418150159</v>
      </c>
      <c r="G28" s="156"/>
      <c r="H28" s="156"/>
      <c r="J28" s="90">
        <f>SUM(J30:J30)</f>
        <v>61262683</v>
      </c>
    </row>
    <row r="29" spans="1:10" ht="15">
      <c r="A29" s="234" t="s">
        <v>1108</v>
      </c>
      <c r="B29" s="105">
        <v>21735</v>
      </c>
      <c r="C29" s="235">
        <v>0.0019</v>
      </c>
      <c r="D29" s="105">
        <v>0</v>
      </c>
      <c r="E29" s="235">
        <v>0</v>
      </c>
      <c r="F29" s="235">
        <v>0</v>
      </c>
      <c r="G29" s="156"/>
      <c r="H29" s="156"/>
      <c r="J29" s="90"/>
    </row>
    <row r="30" spans="1:10" ht="22.5">
      <c r="A30" s="236" t="s">
        <v>1109</v>
      </c>
      <c r="B30" s="105">
        <v>996209</v>
      </c>
      <c r="C30" s="235">
        <f>+B30/$B$33</f>
        <v>0.0873180029478544</v>
      </c>
      <c r="D30" s="105">
        <v>383049</v>
      </c>
      <c r="E30" s="235">
        <f>+D30/$D$33</f>
        <v>0.018427993072538264</v>
      </c>
      <c r="F30" s="235">
        <f>+(B30/D30)-1</f>
        <v>1.6007351539881323</v>
      </c>
      <c r="G30" s="235"/>
      <c r="H30" s="235"/>
      <c r="J30" s="36">
        <v>61262683</v>
      </c>
    </row>
    <row r="31" spans="1:10" ht="15">
      <c r="A31" s="2" t="s">
        <v>1110</v>
      </c>
      <c r="B31" s="155">
        <f>B28+B20+B15+B11</f>
        <v>11265728</v>
      </c>
      <c r="C31" s="156">
        <f>B31/B33</f>
        <v>0.9874442719486832</v>
      </c>
      <c r="D31" s="155">
        <f>+D11+D15+D20+D28</f>
        <v>20322732</v>
      </c>
      <c r="E31" s="156">
        <f>+E11+E15+E20+E28</f>
        <v>0.9641375549239096</v>
      </c>
      <c r="F31" s="156">
        <f>+(B31-D31)/D31</f>
        <v>-0.44565878249046437</v>
      </c>
      <c r="G31" s="156"/>
      <c r="H31" s="156"/>
      <c r="J31" s="36">
        <f>+J11+J15+J20+J28</f>
        <v>16609602151</v>
      </c>
    </row>
    <row r="32" spans="1:10" ht="15">
      <c r="A32" s="2" t="s">
        <v>1111</v>
      </c>
      <c r="B32" s="155">
        <v>143248</v>
      </c>
      <c r="C32" s="156">
        <f>B32/B33</f>
        <v>0.012555728051316788</v>
      </c>
      <c r="D32" s="155">
        <v>463525</v>
      </c>
      <c r="E32" s="156">
        <f>+D32/D33</f>
        <v>0.022299589579788223</v>
      </c>
      <c r="F32" s="156">
        <f>+(B32/D32)-1</f>
        <v>-0.6909594951728601</v>
      </c>
      <c r="G32" s="156"/>
      <c r="H32" s="156"/>
      <c r="J32" s="36"/>
    </row>
    <row r="33" spans="1:10" ht="14.25">
      <c r="A33" s="237" t="s">
        <v>674</v>
      </c>
      <c r="B33" s="238">
        <f>SUM(B31:B32)</f>
        <v>11408976</v>
      </c>
      <c r="C33" s="239">
        <f>SUM(C31:C32)</f>
        <v>1</v>
      </c>
      <c r="D33" s="238">
        <f>SUM(D31:D32)</f>
        <v>20786257</v>
      </c>
      <c r="E33" s="240">
        <f>SUM(E31:E32)</f>
        <v>0.9864371445036978</v>
      </c>
      <c r="F33" s="240">
        <f>+(B33/D33)-1</f>
        <v>-0.4511288877069114</v>
      </c>
      <c r="G33" s="241"/>
      <c r="H33" s="241"/>
      <c r="J33" s="36"/>
    </row>
    <row r="34" spans="1:8" ht="4.5" customHeight="1">
      <c r="A34" s="5"/>
      <c r="B34" s="5"/>
      <c r="C34" s="5"/>
      <c r="D34" s="5"/>
      <c r="E34" s="5"/>
      <c r="F34" s="5"/>
      <c r="G34" s="5"/>
      <c r="H34" s="5"/>
    </row>
    <row r="35" spans="1:8" ht="12.75">
      <c r="A35" s="69" t="s">
        <v>1112</v>
      </c>
      <c r="B35" s="47"/>
      <c r="C35" s="47"/>
      <c r="D35" s="47"/>
      <c r="E35" s="242"/>
      <c r="F35" s="47"/>
      <c r="G35" s="47"/>
      <c r="H35" s="47"/>
    </row>
    <row r="36" spans="1:8" ht="12.75">
      <c r="A36" s="68" t="s">
        <v>1084</v>
      </c>
      <c r="B36" s="47"/>
      <c r="C36" s="47"/>
      <c r="D36" s="47"/>
      <c r="E36" s="47"/>
      <c r="F36" s="47"/>
      <c r="G36" s="47"/>
      <c r="H36" s="47"/>
    </row>
    <row r="38" spans="1:2" ht="14.25">
      <c r="A38" s="243"/>
      <c r="B38" s="127"/>
    </row>
    <row r="39" spans="1:2" ht="12.75">
      <c r="A39" t="s">
        <v>1085</v>
      </c>
      <c r="B39" s="127">
        <f>C11</f>
        <v>0.7765665384868896</v>
      </c>
    </row>
    <row r="40" spans="1:2" ht="12.75">
      <c r="A40" t="s">
        <v>1086</v>
      </c>
      <c r="B40" s="127">
        <f>+C15</f>
        <v>0.07604267026243197</v>
      </c>
    </row>
    <row r="41" spans="1:2" ht="12.75">
      <c r="A41" t="s">
        <v>1087</v>
      </c>
      <c r="B41" s="127">
        <f>+C20</f>
        <v>0.04561198130314237</v>
      </c>
    </row>
    <row r="42" spans="1:2" ht="12.75">
      <c r="A42" t="s">
        <v>1088</v>
      </c>
      <c r="B42" s="127">
        <f>+C28</f>
        <v>0.08922308189621926</v>
      </c>
    </row>
    <row r="43" spans="1:2" ht="12.75">
      <c r="A43" t="s">
        <v>1089</v>
      </c>
      <c r="B43" s="127">
        <f>+C32</f>
        <v>0.012555728051316788</v>
      </c>
    </row>
    <row r="44" ht="12.75">
      <c r="B44"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&amp;C60</oddFooter>
  </headerFooter>
  <drawing r:id="rId1"/>
</worksheet>
</file>

<file path=xl/worksheets/sheet47.xml><?xml version="1.0" encoding="utf-8"?>
<worksheet xmlns="http://schemas.openxmlformats.org/spreadsheetml/2006/main" xmlns:r="http://schemas.openxmlformats.org/officeDocument/2006/relationships">
  <dimension ref="A1:N39"/>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10" max="10" width="10.8515625" style="0" bestFit="1"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677</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13" ht="15">
      <c r="A10" s="5"/>
      <c r="B10" s="233" t="s">
        <v>979</v>
      </c>
      <c r="C10" s="233" t="s">
        <v>665</v>
      </c>
      <c r="D10" s="233" t="s">
        <v>921</v>
      </c>
      <c r="E10" s="233" t="s">
        <v>665</v>
      </c>
      <c r="F10" s="233" t="s">
        <v>883</v>
      </c>
      <c r="K10">
        <v>6.17</v>
      </c>
      <c r="L10" t="s">
        <v>1132</v>
      </c>
      <c r="M10" t="s">
        <v>1133</v>
      </c>
    </row>
    <row r="11" spans="1:13" ht="15">
      <c r="A11" s="2" t="s">
        <v>1090</v>
      </c>
      <c r="B11" s="155">
        <f>SUM(B12:B14)</f>
        <v>790094</v>
      </c>
      <c r="C11" s="156">
        <f>SUM(C12:C14)</f>
        <v>0.6907388190121162</v>
      </c>
      <c r="D11" s="155">
        <f>SUM(D12:D14)</f>
        <v>684925</v>
      </c>
      <c r="E11" s="156">
        <f>SUM(E12:E14)</f>
        <v>0.7320499857849183</v>
      </c>
      <c r="F11" s="156">
        <f>+(B11/D11)-1</f>
        <v>0.15354819870788772</v>
      </c>
      <c r="J11" s="36">
        <f>SUM(J12:J14)</f>
        <v>3009420354</v>
      </c>
      <c r="K11" s="36">
        <f>SUM(K12:K14)</f>
        <v>487750462.56077796</v>
      </c>
      <c r="L11" s="36"/>
      <c r="M11" s="36"/>
    </row>
    <row r="12" spans="1:14" ht="15">
      <c r="A12" s="234" t="s">
        <v>586</v>
      </c>
      <c r="B12" s="105">
        <f>358708+289673+82390+40491+5519</f>
        <v>776781</v>
      </c>
      <c r="C12" s="235">
        <f>+B12/$B$29</f>
        <v>0.6790999432612457</v>
      </c>
      <c r="D12" s="105">
        <v>670020</v>
      </c>
      <c r="E12" s="235">
        <f>+D12/$D$29</f>
        <v>0.7161194750894054</v>
      </c>
      <c r="F12" s="235">
        <f>+(B12/D12)-1</f>
        <v>0.1593400197009045</v>
      </c>
      <c r="J12" s="36">
        <f>2884742073+57985506</f>
        <v>2942727579</v>
      </c>
      <c r="K12" s="36">
        <f>+J12/$K$10</f>
        <v>476941260.77795786</v>
      </c>
      <c r="L12" s="36">
        <f>(1383057575+57985506)/K10</f>
        <v>233556415.07293355</v>
      </c>
      <c r="M12" s="36">
        <f>1501684498/K10</f>
        <v>243384845.7050243</v>
      </c>
      <c r="N12" s="36">
        <f>SUM(L12:M12)</f>
        <v>476941260.77795786</v>
      </c>
    </row>
    <row r="13" spans="1:14" ht="15">
      <c r="A13" s="234" t="s">
        <v>587</v>
      </c>
      <c r="B13" s="105">
        <v>971</v>
      </c>
      <c r="C13" s="235">
        <f>+B13/$B$29</f>
        <v>0.000848895692488191</v>
      </c>
      <c r="D13" s="105">
        <v>12295</v>
      </c>
      <c r="E13" s="235">
        <f>+D13/$D$29</f>
        <v>0.013140934518707261</v>
      </c>
      <c r="F13" s="235">
        <f>+(B13/D13)-1</f>
        <v>-0.9210248068320456</v>
      </c>
      <c r="J13" s="36">
        <v>41447359</v>
      </c>
      <c r="K13" s="36">
        <f>+J13/$K$10</f>
        <v>6717562.236628849</v>
      </c>
      <c r="L13" s="36">
        <f>41447359/K10</f>
        <v>6717562.236628849</v>
      </c>
      <c r="M13" s="36">
        <v>0</v>
      </c>
      <c r="N13" s="36">
        <f>SUM(L13:M13)</f>
        <v>6717562.236628849</v>
      </c>
    </row>
    <row r="14" spans="1:14" ht="22.5">
      <c r="A14" s="236" t="s">
        <v>588</v>
      </c>
      <c r="B14" s="105">
        <v>12342</v>
      </c>
      <c r="C14" s="235">
        <f>+B14/$B$29</f>
        <v>0.010789980058382342</v>
      </c>
      <c r="D14" s="105">
        <v>2610</v>
      </c>
      <c r="E14" s="235">
        <f>+D14/$D$29</f>
        <v>0.0027895761768056897</v>
      </c>
      <c r="F14" s="235">
        <f>+(B14/D14)-1</f>
        <v>3.7287356321839082</v>
      </c>
      <c r="J14" s="36">
        <f>5730103+19515313</f>
        <v>25245416</v>
      </c>
      <c r="K14" s="36">
        <f>+J14/$K$10</f>
        <v>4091639.546191248</v>
      </c>
      <c r="L14" s="36">
        <f>(5730103+19515313)/K10</f>
        <v>4091639.546191248</v>
      </c>
      <c r="M14" s="36">
        <v>0</v>
      </c>
      <c r="N14" s="36">
        <f>SUM(L14:M14)</f>
        <v>4091639.546191248</v>
      </c>
    </row>
    <row r="15" spans="1:13" ht="15">
      <c r="A15" s="234"/>
      <c r="B15" s="105"/>
      <c r="C15" s="156"/>
      <c r="D15" s="105"/>
      <c r="E15" s="156"/>
      <c r="F15" s="235"/>
      <c r="J15" s="36"/>
      <c r="K15" s="36"/>
      <c r="L15" s="36"/>
      <c r="M15" s="36"/>
    </row>
    <row r="16" spans="1:13" ht="15">
      <c r="A16" s="2" t="s">
        <v>1094</v>
      </c>
      <c r="B16" s="155">
        <f>SUM(B17:B18)</f>
        <v>154060</v>
      </c>
      <c r="C16" s="156">
        <f>SUM(C17)</f>
        <v>0.13468678721393482</v>
      </c>
      <c r="D16" s="155">
        <f>+D17</f>
        <v>125367</v>
      </c>
      <c r="E16" s="156">
        <f>SUM(E17)</f>
        <v>0.13399264235923328</v>
      </c>
      <c r="F16" s="156">
        <f>+(B16/D16)-1</f>
        <v>0.22887203171488513</v>
      </c>
      <c r="J16" s="36">
        <f>+J17</f>
        <v>180068699</v>
      </c>
      <c r="K16" s="36">
        <f>+K17</f>
        <v>29184554.132901136</v>
      </c>
      <c r="L16" s="36"/>
      <c r="M16" s="36"/>
    </row>
    <row r="17" spans="1:14" ht="15">
      <c r="A17" s="234" t="s">
        <v>589</v>
      </c>
      <c r="B17" s="105">
        <f>11191+13137+807+23511+37266+35818+8462+8147+1681+3143+3143+7754</f>
        <v>154060</v>
      </c>
      <c r="C17" s="235">
        <f>+B17/$B$29</f>
        <v>0.13468678721393482</v>
      </c>
      <c r="D17" s="105">
        <v>125367</v>
      </c>
      <c r="E17" s="235">
        <f>+D17/$D$29</f>
        <v>0.13399264235923328</v>
      </c>
      <c r="F17" s="235">
        <f>+(B17/D17)-1</f>
        <v>0.22887203171488513</v>
      </c>
      <c r="J17" s="36">
        <v>180068699</v>
      </c>
      <c r="K17" s="36">
        <f>+J17/$K$10</f>
        <v>29184554.132901136</v>
      </c>
      <c r="L17" s="36">
        <f>98921968/K10</f>
        <v>16032733.873581847</v>
      </c>
      <c r="M17" s="36">
        <f>81146732/K10</f>
        <v>13151820.421393842</v>
      </c>
      <c r="N17" s="36">
        <f>SUM(L17:M17)</f>
        <v>29184554.29497569</v>
      </c>
    </row>
    <row r="18" spans="1:13" ht="15">
      <c r="A18" s="244"/>
      <c r="B18" s="105"/>
      <c r="C18" s="156"/>
      <c r="D18" s="105"/>
      <c r="E18" s="156"/>
      <c r="F18" s="235"/>
      <c r="J18" s="36"/>
      <c r="K18" s="36"/>
      <c r="L18" s="36"/>
      <c r="M18" s="36"/>
    </row>
    <row r="19" spans="1:13" ht="15">
      <c r="A19" s="2" t="s">
        <v>1099</v>
      </c>
      <c r="B19" s="155">
        <f>SUM(B20:B21)</f>
        <v>166882</v>
      </c>
      <c r="C19" s="156">
        <f>SUM(C20)</f>
        <v>0.1458964067495513</v>
      </c>
      <c r="D19" s="155">
        <f>+D20</f>
        <v>97824</v>
      </c>
      <c r="E19" s="156">
        <f>SUM(E20)</f>
        <v>0.10455459767043669</v>
      </c>
      <c r="F19" s="156">
        <f>+(B19/D19)-1</f>
        <v>0.7059412823029114</v>
      </c>
      <c r="J19" s="36">
        <f>+J20</f>
        <v>1299418130</v>
      </c>
      <c r="K19" s="36">
        <f>+K20</f>
        <v>210602614.26256078</v>
      </c>
      <c r="L19" s="36"/>
      <c r="M19" s="36"/>
    </row>
    <row r="20" spans="1:14" ht="15">
      <c r="A20" s="234" t="s">
        <v>590</v>
      </c>
      <c r="B20" s="105">
        <f>6805+13108+21928+18100+7369+34493+23734+1502+12589+27254</f>
        <v>166882</v>
      </c>
      <c r="C20" s="235">
        <f>+B20/$B$29</f>
        <v>0.1458964067495513</v>
      </c>
      <c r="D20" s="105">
        <v>97824</v>
      </c>
      <c r="E20" s="235">
        <f>+D20/$D$29</f>
        <v>0.10455459767043669</v>
      </c>
      <c r="F20" s="235">
        <f>+(B20/D20)-1</f>
        <v>0.7059412823029114</v>
      </c>
      <c r="J20" s="36">
        <v>1299418130</v>
      </c>
      <c r="K20" s="36">
        <f>+J20/$K$10</f>
        <v>210602614.26256078</v>
      </c>
      <c r="L20" s="36">
        <f>593194334/K10</f>
        <v>96141707.29335494</v>
      </c>
      <c r="M20" s="36">
        <f>706223796/K10</f>
        <v>114460906.96920584</v>
      </c>
      <c r="N20" s="36">
        <f>SUM(L20:M20)</f>
        <v>210602614.26256078</v>
      </c>
    </row>
    <row r="21" spans="1:13" ht="15">
      <c r="A21" s="244"/>
      <c r="B21" s="105"/>
      <c r="C21" s="235"/>
      <c r="D21" s="105"/>
      <c r="E21" s="235"/>
      <c r="F21" s="235"/>
      <c r="J21" s="36"/>
      <c r="K21" s="36"/>
      <c r="L21" s="36"/>
      <c r="M21" s="36"/>
    </row>
    <row r="22" spans="1:13" ht="15">
      <c r="A22" s="2" t="s">
        <v>1107</v>
      </c>
      <c r="B22" s="155">
        <f>+B23</f>
        <v>15147</v>
      </c>
      <c r="C22" s="156">
        <f>+B22/B29</f>
        <v>0.013242248253469239</v>
      </c>
      <c r="D22" s="245" t="s">
        <v>585</v>
      </c>
      <c r="E22" s="245" t="s">
        <v>585</v>
      </c>
      <c r="F22" s="245" t="s">
        <v>585</v>
      </c>
      <c r="J22" s="36">
        <f>+J25</f>
        <v>0</v>
      </c>
      <c r="K22" s="36">
        <f>+K25</f>
        <v>0</v>
      </c>
      <c r="L22" s="36"/>
      <c r="M22" s="36"/>
    </row>
    <row r="23" spans="1:13" ht="15">
      <c r="A23" s="2"/>
      <c r="B23" s="105">
        <v>15147</v>
      </c>
      <c r="C23" s="156"/>
      <c r="D23" s="246" t="s">
        <v>585</v>
      </c>
      <c r="E23" s="246" t="s">
        <v>585</v>
      </c>
      <c r="F23" s="246" t="s">
        <v>585</v>
      </c>
      <c r="J23" s="36"/>
      <c r="K23" s="36"/>
      <c r="L23" s="36"/>
      <c r="M23" s="36"/>
    </row>
    <row r="24" spans="1:13" ht="14.25">
      <c r="A24" s="2"/>
      <c r="B24" s="155"/>
      <c r="C24" s="156"/>
      <c r="D24" s="155"/>
      <c r="E24" s="156"/>
      <c r="F24" s="156"/>
      <c r="J24" s="36"/>
      <c r="K24" s="36"/>
      <c r="L24" s="36"/>
      <c r="M24" s="36"/>
    </row>
    <row r="25" spans="1:13" ht="15">
      <c r="A25" s="247" t="s">
        <v>1110</v>
      </c>
      <c r="B25" s="155">
        <f>+B11+B16+B19+B22</f>
        <v>1126183</v>
      </c>
      <c r="C25" s="156">
        <f>+B25/B29</f>
        <v>0.9845642612290716</v>
      </c>
      <c r="D25" s="155">
        <f>+D11+D16+D19</f>
        <v>908116</v>
      </c>
      <c r="E25" s="156">
        <f>+D25/D29</f>
        <v>0.9705972258145883</v>
      </c>
      <c r="F25" s="156">
        <f>+(B25/D25)-1</f>
        <v>0.24013121671680704</v>
      </c>
      <c r="J25" s="36"/>
      <c r="K25" s="36"/>
      <c r="L25" s="36"/>
      <c r="M25" s="36"/>
    </row>
    <row r="26" spans="1:13" ht="15">
      <c r="A26" s="244"/>
      <c r="B26" s="105"/>
      <c r="C26" s="235"/>
      <c r="D26" s="105"/>
      <c r="E26" s="235"/>
      <c r="F26" s="235"/>
      <c r="J26" s="36"/>
      <c r="K26" s="36"/>
      <c r="L26" s="36"/>
      <c r="M26" s="36"/>
    </row>
    <row r="27" spans="1:14" ht="15">
      <c r="A27" s="2" t="s">
        <v>1111</v>
      </c>
      <c r="B27" s="247">
        <f>7620+10036</f>
        <v>17656</v>
      </c>
      <c r="C27" s="156">
        <f>+B27/B29</f>
        <v>0.015435738770928426</v>
      </c>
      <c r="D27" s="155">
        <v>27510</v>
      </c>
      <c r="E27" s="156">
        <f>+D27/D29</f>
        <v>0.029402774185411693</v>
      </c>
      <c r="F27" s="156">
        <f>+(B27/D27)-1</f>
        <v>-0.35819701926572156</v>
      </c>
      <c r="J27" s="36">
        <v>87328098</v>
      </c>
      <c r="K27" s="36">
        <f>+J27/$K$10</f>
        <v>14153662.560777958</v>
      </c>
      <c r="L27" s="36">
        <f>35459758/K10</f>
        <v>5747124.473257699</v>
      </c>
      <c r="M27" s="36">
        <f>51868340/K10</f>
        <v>8406538.087520259</v>
      </c>
      <c r="N27" s="36">
        <f>SUM(L27:M27)</f>
        <v>14153662.560777958</v>
      </c>
    </row>
    <row r="28" spans="1:13" ht="15">
      <c r="A28" s="244"/>
      <c r="B28" s="105"/>
      <c r="C28" s="235"/>
      <c r="D28" s="105"/>
      <c r="E28" s="235"/>
      <c r="F28" s="235"/>
      <c r="J28" s="36"/>
      <c r="K28" s="36"/>
      <c r="L28" s="36"/>
      <c r="M28" s="36"/>
    </row>
    <row r="29" spans="1:14" ht="14.25">
      <c r="A29" s="237" t="s">
        <v>674</v>
      </c>
      <c r="B29" s="238">
        <f>+B25+B27</f>
        <v>1143839</v>
      </c>
      <c r="C29" s="239">
        <f>+C11+C16+C19+C22+C27</f>
        <v>0.9999999999999999</v>
      </c>
      <c r="D29" s="238">
        <f>+D11+D16+D19+D27</f>
        <v>935626</v>
      </c>
      <c r="E29" s="240">
        <f>+E11+E16+E19+E27</f>
        <v>1</v>
      </c>
      <c r="F29" s="240">
        <f>+(B29/D29)-1</f>
        <v>0.22253870670545717</v>
      </c>
      <c r="J29" s="36">
        <f>+J11+J16+J19+J27</f>
        <v>4576235281</v>
      </c>
      <c r="K29" s="36">
        <f>+K11+K16+K19+K27</f>
        <v>741691293.5170178</v>
      </c>
      <c r="L29" s="36">
        <f>SUM(L11:L28)</f>
        <v>362287182.4959482</v>
      </c>
      <c r="M29" s="36">
        <f>SUM(M11:M28)</f>
        <v>379404111.1831442</v>
      </c>
      <c r="N29" s="36">
        <f>SUM(L29:M29)</f>
        <v>741691293.6790924</v>
      </c>
    </row>
    <row r="30" spans="1:6" ht="15">
      <c r="A30" s="5"/>
      <c r="B30" s="5"/>
      <c r="C30" s="5"/>
      <c r="D30" s="5"/>
      <c r="E30" s="5"/>
      <c r="F30" s="5"/>
    </row>
    <row r="31" spans="1:6" ht="12.75">
      <c r="A31" s="69" t="s">
        <v>923</v>
      </c>
      <c r="B31" s="47"/>
      <c r="C31" s="47"/>
      <c r="D31" s="47"/>
      <c r="E31" s="47"/>
      <c r="F31" s="47"/>
    </row>
    <row r="32" spans="1:6" ht="12.75">
      <c r="A32" s="69"/>
      <c r="B32" s="47"/>
      <c r="C32" s="47"/>
      <c r="D32" s="47"/>
      <c r="E32" s="47"/>
      <c r="F32" s="47"/>
    </row>
    <row r="34" spans="1:2" ht="12.75">
      <c r="A34" t="s">
        <v>1085</v>
      </c>
      <c r="B34" s="127">
        <f>+C11</f>
        <v>0.6907388190121162</v>
      </c>
    </row>
    <row r="35" spans="1:2" ht="12.75">
      <c r="A35" t="s">
        <v>1086</v>
      </c>
      <c r="B35" s="127">
        <f>+C16</f>
        <v>0.13468678721393482</v>
      </c>
    </row>
    <row r="36" spans="1:2" ht="12.75">
      <c r="A36" t="s">
        <v>1087</v>
      </c>
      <c r="B36" s="127">
        <f>+C19</f>
        <v>0.1458964067495513</v>
      </c>
    </row>
    <row r="37" spans="1:2" ht="12.75">
      <c r="A37" t="s">
        <v>1088</v>
      </c>
      <c r="B37" s="127">
        <f>+C22</f>
        <v>0.013242248253469239</v>
      </c>
    </row>
    <row r="38" spans="1:2" ht="12.75">
      <c r="A38" t="s">
        <v>1089</v>
      </c>
      <c r="B38" s="127">
        <f>+C27</f>
        <v>0.015435738770928426</v>
      </c>
    </row>
    <row r="39" ht="12.75">
      <c r="B39"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&amp;C61</oddFooter>
  </headerFooter>
  <drawing r:id="rId1"/>
</worksheet>
</file>

<file path=xl/worksheets/sheet48.xml><?xml version="1.0" encoding="utf-8"?>
<worksheet xmlns="http://schemas.openxmlformats.org/spreadsheetml/2006/main" xmlns:r="http://schemas.openxmlformats.org/officeDocument/2006/relationships">
  <dimension ref="A1:M41"/>
  <sheetViews>
    <sheetView workbookViewId="0" topLeftCell="A28">
      <selection activeCell="A4" sqref="A4:F4"/>
    </sheetView>
  </sheetViews>
  <sheetFormatPr defaultColWidth="11.421875" defaultRowHeight="12.75"/>
  <cols>
    <col min="1" max="1" width="37.7109375" style="0" customWidth="1"/>
    <col min="2" max="2" width="15.8515625" style="0" customWidth="1"/>
    <col min="4" max="4" width="15.8515625" style="0" customWidth="1"/>
    <col min="9" max="9" width="12.7109375" style="0" bestFit="1"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675</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13" ht="15">
      <c r="A8" s="5"/>
      <c r="B8" s="230" t="s">
        <v>1082</v>
      </c>
      <c r="C8" s="2"/>
      <c r="D8" s="230" t="s">
        <v>1082</v>
      </c>
      <c r="E8" s="2"/>
      <c r="F8" s="47"/>
      <c r="I8">
        <v>2002</v>
      </c>
      <c r="J8">
        <v>3.535</v>
      </c>
      <c r="L8">
        <v>2001</v>
      </c>
      <c r="M8">
        <v>2.33</v>
      </c>
    </row>
    <row r="9" spans="1:13" ht="15">
      <c r="A9" s="5"/>
      <c r="B9" s="231" t="s">
        <v>1083</v>
      </c>
      <c r="C9" s="2"/>
      <c r="D9" s="231" t="s">
        <v>1083</v>
      </c>
      <c r="E9" s="2"/>
      <c r="F9" s="232"/>
      <c r="I9" t="s">
        <v>820</v>
      </c>
      <c r="J9" t="s">
        <v>821</v>
      </c>
      <c r="L9" t="s">
        <v>1126</v>
      </c>
      <c r="M9" t="s">
        <v>1127</v>
      </c>
    </row>
    <row r="10" spans="1:6" ht="15">
      <c r="A10" s="5"/>
      <c r="B10" s="248" t="s">
        <v>979</v>
      </c>
      <c r="C10" s="233" t="s">
        <v>665</v>
      </c>
      <c r="D10" s="248" t="s">
        <v>921</v>
      </c>
      <c r="E10" s="233" t="s">
        <v>665</v>
      </c>
      <c r="F10" s="233" t="s">
        <v>883</v>
      </c>
    </row>
    <row r="11" spans="1:13" ht="15">
      <c r="A11" s="66" t="s">
        <v>591</v>
      </c>
      <c r="B11" s="105">
        <f aca="true" t="shared" si="0" ref="B11:B21">+J11</f>
        <v>7548514.851485148</v>
      </c>
      <c r="C11" s="235">
        <f aca="true" t="shared" si="1" ref="C11:C21">+B11/$B$23</f>
        <v>0.1583638974943323</v>
      </c>
      <c r="D11" s="249">
        <f aca="true" t="shared" si="2" ref="D11:D21">+M11</f>
        <v>12280686.695278969</v>
      </c>
      <c r="E11" s="235">
        <f aca="true" t="shared" si="3" ref="E11:E21">+D11/$D$23</f>
        <v>0.18511162721491553</v>
      </c>
      <c r="F11" s="235">
        <f aca="true" t="shared" si="4" ref="F11:F21">+(B11/D11)-1</f>
        <v>-0.3853344655077795</v>
      </c>
      <c r="I11" s="105">
        <v>26684000</v>
      </c>
      <c r="J11" s="36">
        <f aca="true" t="shared" si="5" ref="J11:J21">+I11/$J$8</f>
        <v>7548514.851485148</v>
      </c>
      <c r="L11" s="249">
        <v>28614000</v>
      </c>
      <c r="M11" s="36">
        <f aca="true" t="shared" si="6" ref="M11:M21">+L11/$M$8</f>
        <v>12280686.695278969</v>
      </c>
    </row>
    <row r="12" spans="1:13" ht="15">
      <c r="A12" s="66" t="s">
        <v>592</v>
      </c>
      <c r="B12" s="105">
        <f t="shared" si="0"/>
        <v>3205091.937765205</v>
      </c>
      <c r="C12" s="235">
        <f t="shared" si="1"/>
        <v>0.06724115419767594</v>
      </c>
      <c r="D12" s="249">
        <f t="shared" si="2"/>
        <v>4529613.733905579</v>
      </c>
      <c r="E12" s="235">
        <f t="shared" si="3"/>
        <v>0.06827665176578662</v>
      </c>
      <c r="F12" s="235">
        <f t="shared" si="4"/>
        <v>-0.2924138511471548</v>
      </c>
      <c r="I12" s="105">
        <v>11330000</v>
      </c>
      <c r="J12" s="36">
        <f t="shared" si="5"/>
        <v>3205091.937765205</v>
      </c>
      <c r="L12" s="249">
        <v>10554000</v>
      </c>
      <c r="M12" s="36">
        <f t="shared" si="6"/>
        <v>4529613.733905579</v>
      </c>
    </row>
    <row r="13" spans="1:13" ht="15">
      <c r="A13" s="66" t="s">
        <v>593</v>
      </c>
      <c r="B13" s="105">
        <f t="shared" si="0"/>
        <v>1077227.7227722772</v>
      </c>
      <c r="C13" s="235">
        <f t="shared" si="1"/>
        <v>0.022599674773587822</v>
      </c>
      <c r="D13" s="249">
        <f t="shared" si="2"/>
        <v>2069527.896995708</v>
      </c>
      <c r="E13" s="235">
        <f t="shared" si="3"/>
        <v>0.031194809059562546</v>
      </c>
      <c r="F13" s="235">
        <f t="shared" si="4"/>
        <v>-0.4794814197305255</v>
      </c>
      <c r="I13" s="105">
        <v>3808000</v>
      </c>
      <c r="J13" s="36">
        <f t="shared" si="5"/>
        <v>1077227.7227722772</v>
      </c>
      <c r="L13" s="249">
        <v>4822000</v>
      </c>
      <c r="M13" s="36">
        <f t="shared" si="6"/>
        <v>2069527.896995708</v>
      </c>
    </row>
    <row r="14" spans="1:13" ht="15">
      <c r="A14" s="66" t="s">
        <v>594</v>
      </c>
      <c r="B14" s="105">
        <f t="shared" si="0"/>
        <v>19544271.570014145</v>
      </c>
      <c r="C14" s="235">
        <f t="shared" si="1"/>
        <v>0.4100286056807797</v>
      </c>
      <c r="D14" s="249">
        <f t="shared" si="2"/>
        <v>26785836.909871243</v>
      </c>
      <c r="E14" s="235">
        <f t="shared" si="3"/>
        <v>0.40375346914482746</v>
      </c>
      <c r="F14" s="235">
        <f t="shared" si="4"/>
        <v>-0.2703505350317579</v>
      </c>
      <c r="I14" s="105">
        <v>69089000</v>
      </c>
      <c r="J14" s="36">
        <f t="shared" si="5"/>
        <v>19544271.570014145</v>
      </c>
      <c r="L14" s="249">
        <v>62411000</v>
      </c>
      <c r="M14" s="36">
        <f t="shared" si="6"/>
        <v>26785836.909871243</v>
      </c>
    </row>
    <row r="15" spans="1:13" ht="15">
      <c r="A15" s="66" t="s">
        <v>595</v>
      </c>
      <c r="B15" s="105">
        <f t="shared" si="0"/>
        <v>5676661.951909477</v>
      </c>
      <c r="C15" s="235">
        <f t="shared" si="1"/>
        <v>0.11909340170209738</v>
      </c>
      <c r="D15" s="249">
        <f t="shared" si="2"/>
        <v>6966523.605150214</v>
      </c>
      <c r="E15" s="235">
        <f t="shared" si="3"/>
        <v>0.10500915401385717</v>
      </c>
      <c r="F15" s="235">
        <f t="shared" si="4"/>
        <v>-0.18515140783950956</v>
      </c>
      <c r="I15" s="105">
        <v>20067000</v>
      </c>
      <c r="J15" s="36">
        <f t="shared" si="5"/>
        <v>5676661.951909477</v>
      </c>
      <c r="L15" s="249">
        <v>16232000</v>
      </c>
      <c r="M15" s="36">
        <f t="shared" si="6"/>
        <v>6966523.605150214</v>
      </c>
    </row>
    <row r="16" spans="1:13" ht="15">
      <c r="A16" s="66" t="s">
        <v>596</v>
      </c>
      <c r="B16" s="105">
        <f t="shared" si="0"/>
        <v>902404.5261669024</v>
      </c>
      <c r="C16" s="235">
        <f t="shared" si="1"/>
        <v>0.018931975453714587</v>
      </c>
      <c r="D16" s="249">
        <f t="shared" si="2"/>
        <v>1176824.034334764</v>
      </c>
      <c r="E16" s="235">
        <f t="shared" si="3"/>
        <v>0.01773873215290761</v>
      </c>
      <c r="F16" s="235">
        <f t="shared" si="4"/>
        <v>-0.23318652590485678</v>
      </c>
      <c r="I16" s="105">
        <v>3190000</v>
      </c>
      <c r="J16" s="36">
        <f t="shared" si="5"/>
        <v>902404.5261669024</v>
      </c>
      <c r="L16" s="249">
        <v>2742000</v>
      </c>
      <c r="M16" s="36">
        <f t="shared" si="6"/>
        <v>1176824.034334764</v>
      </c>
    </row>
    <row r="17" spans="1:13" ht="15">
      <c r="A17" s="66" t="s">
        <v>597</v>
      </c>
      <c r="B17" s="105">
        <f t="shared" si="0"/>
        <v>972560.1131541725</v>
      </c>
      <c r="C17" s="235">
        <f t="shared" si="1"/>
        <v>0.020403803012498667</v>
      </c>
      <c r="D17" s="249">
        <f t="shared" si="2"/>
        <v>1651502.1459227467</v>
      </c>
      <c r="E17" s="235">
        <f t="shared" si="3"/>
        <v>0.024893742277311632</v>
      </c>
      <c r="F17" s="235">
        <f t="shared" si="4"/>
        <v>-0.4111057526899111</v>
      </c>
      <c r="I17" s="105">
        <v>3438000</v>
      </c>
      <c r="J17" s="36">
        <f t="shared" si="5"/>
        <v>972560.1131541725</v>
      </c>
      <c r="L17" s="249">
        <v>3848000</v>
      </c>
      <c r="M17" s="36">
        <f t="shared" si="6"/>
        <v>1651502.1459227467</v>
      </c>
    </row>
    <row r="18" spans="1:13" ht="15">
      <c r="A18" s="66" t="s">
        <v>598</v>
      </c>
      <c r="B18" s="105">
        <f t="shared" si="0"/>
        <v>1056011.315417256</v>
      </c>
      <c r="C18" s="235">
        <f t="shared" si="1"/>
        <v>0.022154565632826508</v>
      </c>
      <c r="D18" s="249">
        <f t="shared" si="2"/>
        <v>1373819.7424892704</v>
      </c>
      <c r="E18" s="235">
        <f t="shared" si="3"/>
        <v>0.020708126047212717</v>
      </c>
      <c r="F18" s="235">
        <f t="shared" si="4"/>
        <v>-0.23133196972127257</v>
      </c>
      <c r="I18" s="105">
        <v>3733000</v>
      </c>
      <c r="J18" s="36">
        <f t="shared" si="5"/>
        <v>1056011.315417256</v>
      </c>
      <c r="L18" s="249">
        <v>3201000</v>
      </c>
      <c r="M18" s="36">
        <f t="shared" si="6"/>
        <v>1373819.7424892704</v>
      </c>
    </row>
    <row r="19" spans="1:13" ht="15">
      <c r="A19" s="66" t="s">
        <v>599</v>
      </c>
      <c r="B19" s="105">
        <f t="shared" si="0"/>
        <v>6356718.528995756</v>
      </c>
      <c r="C19" s="235">
        <f t="shared" si="1"/>
        <v>0.13336063336063336</v>
      </c>
      <c r="D19" s="249">
        <f t="shared" si="2"/>
        <v>7516309.012875536</v>
      </c>
      <c r="E19" s="235">
        <f t="shared" si="3"/>
        <v>0.11329628599338841</v>
      </c>
      <c r="F19" s="235">
        <f t="shared" si="4"/>
        <v>-0.1542765846765196</v>
      </c>
      <c r="I19" s="105">
        <v>22471000</v>
      </c>
      <c r="J19" s="36">
        <f t="shared" si="5"/>
        <v>6356718.528995756</v>
      </c>
      <c r="L19" s="249">
        <v>17513000</v>
      </c>
      <c r="M19" s="36">
        <f t="shared" si="6"/>
        <v>7516309.012875536</v>
      </c>
    </row>
    <row r="20" spans="1:13" ht="15">
      <c r="A20" s="66" t="s">
        <v>600</v>
      </c>
      <c r="B20" s="105">
        <f t="shared" si="0"/>
        <v>1304667.6096181045</v>
      </c>
      <c r="C20" s="235">
        <f t="shared" si="1"/>
        <v>0.027371244762549114</v>
      </c>
      <c r="D20" s="249">
        <f t="shared" si="2"/>
        <v>1929613.7339055794</v>
      </c>
      <c r="E20" s="235">
        <f t="shared" si="3"/>
        <v>0.02908582777515413</v>
      </c>
      <c r="F20" s="235">
        <f t="shared" si="4"/>
        <v>-0.32387110088741466</v>
      </c>
      <c r="I20" s="105">
        <v>4612000</v>
      </c>
      <c r="J20" s="36">
        <f t="shared" si="5"/>
        <v>1304667.6096181045</v>
      </c>
      <c r="L20" s="249">
        <v>4496000</v>
      </c>
      <c r="M20" s="36">
        <f t="shared" si="6"/>
        <v>1929613.7339055794</v>
      </c>
    </row>
    <row r="21" spans="1:13" ht="24">
      <c r="A21" s="220" t="s">
        <v>601</v>
      </c>
      <c r="B21" s="105">
        <f t="shared" si="0"/>
        <v>21499.292786421498</v>
      </c>
      <c r="C21" s="235">
        <f t="shared" si="1"/>
        <v>0.00045104392930479895</v>
      </c>
      <c r="D21" s="249">
        <f t="shared" si="2"/>
        <v>61802.575107296136</v>
      </c>
      <c r="E21" s="235">
        <f t="shared" si="3"/>
        <v>0.000931574555076111</v>
      </c>
      <c r="F21" s="235">
        <f t="shared" si="4"/>
        <v>-0.6521294986641522</v>
      </c>
      <c r="I21" s="105">
        <v>76000</v>
      </c>
      <c r="J21" s="36">
        <f t="shared" si="5"/>
        <v>21499.292786421498</v>
      </c>
      <c r="L21" s="249">
        <v>144000</v>
      </c>
      <c r="M21" s="36">
        <f t="shared" si="6"/>
        <v>61802.575107296136</v>
      </c>
    </row>
    <row r="22" spans="1:13" ht="15">
      <c r="A22" s="244"/>
      <c r="B22" s="250"/>
      <c r="C22" s="235"/>
      <c r="D22" s="250"/>
      <c r="E22" s="235"/>
      <c r="F22" s="235"/>
      <c r="L22" s="36"/>
      <c r="M22" s="36"/>
    </row>
    <row r="23" spans="1:13" ht="14.25">
      <c r="A23" s="237" t="s">
        <v>674</v>
      </c>
      <c r="B23" s="238">
        <f>SUM(B11:B22)</f>
        <v>47665629.42008486</v>
      </c>
      <c r="C23" s="239">
        <f>SUM(C11:C22)</f>
        <v>1.0000000000000002</v>
      </c>
      <c r="D23" s="238">
        <f>SUM(D11:D22)</f>
        <v>66342060.08583691</v>
      </c>
      <c r="E23" s="240">
        <f>SUM(E11:E22)</f>
        <v>0.9999999999999999</v>
      </c>
      <c r="F23" s="240">
        <f>+(B23/D23)-1</f>
        <v>-0.281517194997977</v>
      </c>
      <c r="I23" s="36">
        <f>SUM(I11:I22)</f>
        <v>168498000</v>
      </c>
      <c r="J23" s="36">
        <f>SUM(J11:J22)</f>
        <v>47665629.42008486</v>
      </c>
      <c r="L23" s="36">
        <f>SUM(L11:L22)</f>
        <v>154577000</v>
      </c>
      <c r="M23" s="36">
        <f>SUM(M11:M22)</f>
        <v>66342060.08583691</v>
      </c>
    </row>
    <row r="24" spans="2:12" ht="15">
      <c r="B24" s="5"/>
      <c r="C24" s="5"/>
      <c r="D24" s="5"/>
      <c r="E24" s="5"/>
      <c r="F24" s="5"/>
      <c r="I24" s="36"/>
      <c r="L24" s="36"/>
    </row>
    <row r="25" spans="1:6" ht="12.75">
      <c r="A25" s="560" t="s">
        <v>602</v>
      </c>
      <c r="B25" s="560"/>
      <c r="C25" s="560"/>
      <c r="D25" s="560"/>
      <c r="E25" s="560"/>
      <c r="F25" s="560"/>
    </row>
    <row r="26" spans="1:6" ht="12.75">
      <c r="A26" s="521" t="s">
        <v>603</v>
      </c>
      <c r="B26" s="521"/>
      <c r="C26" s="521"/>
      <c r="D26" s="521"/>
      <c r="E26" s="521"/>
      <c r="F26" s="521"/>
    </row>
    <row r="27" spans="1:6" ht="12.75">
      <c r="A27" s="66"/>
      <c r="B27" s="47"/>
      <c r="C27" s="47"/>
      <c r="D27" s="47"/>
      <c r="E27" s="47"/>
      <c r="F27" s="47"/>
    </row>
    <row r="30" spans="1:2" ht="15">
      <c r="A30" s="28" t="s">
        <v>1114</v>
      </c>
      <c r="B30" s="127">
        <f aca="true" t="shared" si="7" ref="B30:B35">C11</f>
        <v>0.1583638974943323</v>
      </c>
    </row>
    <row r="31" spans="1:2" ht="15">
      <c r="A31" s="28" t="s">
        <v>1115</v>
      </c>
      <c r="B31" s="127">
        <f t="shared" si="7"/>
        <v>0.06724115419767594</v>
      </c>
    </row>
    <row r="32" spans="1:2" ht="15">
      <c r="A32" s="28" t="s">
        <v>1116</v>
      </c>
      <c r="B32" s="127">
        <f t="shared" si="7"/>
        <v>0.022599674773587822</v>
      </c>
    </row>
    <row r="33" spans="1:2" ht="15">
      <c r="A33" s="28" t="s">
        <v>1117</v>
      </c>
      <c r="B33" s="127">
        <f t="shared" si="7"/>
        <v>0.4100286056807797</v>
      </c>
    </row>
    <row r="34" spans="1:2" ht="15">
      <c r="A34" s="28" t="s">
        <v>1118</v>
      </c>
      <c r="B34" s="127">
        <f t="shared" si="7"/>
        <v>0.11909340170209738</v>
      </c>
    </row>
    <row r="35" spans="1:2" ht="15">
      <c r="A35" s="28" t="s">
        <v>1119</v>
      </c>
      <c r="B35" s="127">
        <f t="shared" si="7"/>
        <v>0.018931975453714587</v>
      </c>
    </row>
    <row r="36" spans="1:2" ht="15">
      <c r="A36" s="28" t="s">
        <v>1120</v>
      </c>
      <c r="B36" s="127">
        <f>+C17</f>
        <v>0.020403803012498667</v>
      </c>
    </row>
    <row r="37" spans="1:2" ht="15">
      <c r="A37" s="28" t="s">
        <v>1135</v>
      </c>
      <c r="B37" s="127">
        <f>+C18</f>
        <v>0.022154565632826508</v>
      </c>
    </row>
    <row r="38" spans="1:2" ht="15">
      <c r="A38" s="28" t="s">
        <v>584</v>
      </c>
      <c r="B38" s="127">
        <f>+C19</f>
        <v>0.13336063336063336</v>
      </c>
    </row>
    <row r="39" spans="1:2" ht="15">
      <c r="A39" s="28" t="s">
        <v>733</v>
      </c>
      <c r="B39" s="127">
        <f>C20</f>
        <v>0.027371244762549114</v>
      </c>
    </row>
    <row r="40" spans="1:2" ht="15">
      <c r="A40" s="28" t="s">
        <v>1121</v>
      </c>
      <c r="B40" s="127">
        <f>C21</f>
        <v>0.00045104392930479895</v>
      </c>
    </row>
    <row r="41" ht="12.75">
      <c r="B41" s="127">
        <f>SUM(B30:B40)</f>
        <v>1.0000000000000002</v>
      </c>
    </row>
  </sheetData>
  <mergeCells count="5">
    <mergeCell ref="A26:F26"/>
    <mergeCell ref="A4:F4"/>
    <mergeCell ref="A5:F5"/>
    <mergeCell ref="A6:F6"/>
    <mergeCell ref="A25:F25"/>
  </mergeCells>
  <printOptions horizontalCentered="1"/>
  <pageMargins left="0.75" right="0.75" top="1" bottom="1" header="0" footer="0"/>
  <pageSetup horizontalDpi="300" verticalDpi="300" orientation="portrait" scale="90" r:id="rId2"/>
  <headerFooter alignWithMargins="0">
    <oddFooter>&amp;C62</oddFooter>
  </headerFooter>
  <drawing r:id="rId1"/>
</worksheet>
</file>

<file path=xl/worksheets/sheet49.xml><?xml version="1.0" encoding="utf-8"?>
<worksheet xmlns="http://schemas.openxmlformats.org/spreadsheetml/2006/main" xmlns:r="http://schemas.openxmlformats.org/officeDocument/2006/relationships">
  <dimension ref="A1:N31"/>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8" ht="12.75">
      <c r="A1" s="1" t="s">
        <v>658</v>
      </c>
      <c r="B1" s="1"/>
      <c r="C1" s="1"/>
      <c r="D1" s="1"/>
      <c r="E1" s="47"/>
      <c r="F1" s="47"/>
      <c r="G1" s="47"/>
      <c r="H1" s="47"/>
    </row>
    <row r="2" spans="1:8" ht="12.75">
      <c r="A2" s="1" t="s">
        <v>659</v>
      </c>
      <c r="B2" s="1"/>
      <c r="C2" s="1"/>
      <c r="D2" s="1"/>
      <c r="E2" s="47"/>
      <c r="F2" s="47"/>
      <c r="G2" s="47"/>
      <c r="H2" s="47"/>
    </row>
    <row r="3" spans="1:8" ht="13.5" thickBot="1">
      <c r="A3" s="47"/>
      <c r="B3" s="47"/>
      <c r="C3" s="47"/>
      <c r="D3" s="47"/>
      <c r="E3" s="47"/>
      <c r="F3" s="47"/>
      <c r="G3" s="47"/>
      <c r="H3" s="47"/>
    </row>
    <row r="4" spans="1:8" ht="18.75" thickBot="1">
      <c r="A4" s="579" t="s">
        <v>676</v>
      </c>
      <c r="B4" s="580"/>
      <c r="C4" s="580"/>
      <c r="D4" s="580"/>
      <c r="E4" s="580"/>
      <c r="F4" s="581"/>
      <c r="G4" s="65"/>
      <c r="H4" s="65"/>
    </row>
    <row r="5" spans="1:8" ht="15.75">
      <c r="A5" s="525" t="s">
        <v>1080</v>
      </c>
      <c r="B5" s="525"/>
      <c r="C5" s="525"/>
      <c r="D5" s="525"/>
      <c r="E5" s="525"/>
      <c r="F5" s="525"/>
      <c r="G5" s="64"/>
      <c r="H5" s="64"/>
    </row>
    <row r="6" spans="1:8" ht="15.75">
      <c r="A6" s="526" t="s">
        <v>1081</v>
      </c>
      <c r="B6" s="526"/>
      <c r="C6" s="526"/>
      <c r="D6" s="526"/>
      <c r="E6" s="526"/>
      <c r="F6" s="526"/>
      <c r="G6" s="61"/>
      <c r="H6" s="61"/>
    </row>
    <row r="7" spans="1:8" ht="15.75">
      <c r="A7" s="6"/>
      <c r="B7" s="5"/>
      <c r="C7" s="5"/>
      <c r="D7" s="5"/>
      <c r="E7" s="5"/>
      <c r="F7" s="5"/>
      <c r="G7" s="5"/>
      <c r="H7" s="5"/>
    </row>
    <row r="8" spans="1:8" ht="15">
      <c r="A8" s="5"/>
      <c r="B8" s="60" t="s">
        <v>1010</v>
      </c>
      <c r="C8" s="2"/>
      <c r="D8" s="60" t="s">
        <v>1010</v>
      </c>
      <c r="E8" s="2"/>
      <c r="F8" s="47"/>
      <c r="G8" s="47"/>
      <c r="H8" s="47"/>
    </row>
    <row r="9" spans="1:14" ht="15">
      <c r="A9" s="5"/>
      <c r="B9" s="231" t="s">
        <v>1083</v>
      </c>
      <c r="C9" s="2"/>
      <c r="D9" s="231" t="s">
        <v>1083</v>
      </c>
      <c r="E9" s="2"/>
      <c r="F9" s="232"/>
      <c r="G9" s="232"/>
      <c r="H9" s="232"/>
      <c r="J9" t="s">
        <v>1128</v>
      </c>
      <c r="K9" t="s">
        <v>795</v>
      </c>
      <c r="M9" t="s">
        <v>1128</v>
      </c>
      <c r="N9" t="s">
        <v>795</v>
      </c>
    </row>
    <row r="10" spans="1:14" ht="15">
      <c r="A10" s="5"/>
      <c r="B10" s="248" t="s">
        <v>979</v>
      </c>
      <c r="C10" s="248" t="s">
        <v>665</v>
      </c>
      <c r="D10" s="248" t="s">
        <v>921</v>
      </c>
      <c r="E10" s="233" t="s">
        <v>665</v>
      </c>
      <c r="F10" s="233" t="s">
        <v>883</v>
      </c>
      <c r="G10" s="230"/>
      <c r="H10" s="230"/>
      <c r="J10" t="s">
        <v>1134</v>
      </c>
      <c r="K10">
        <v>1.95</v>
      </c>
      <c r="M10" t="s">
        <v>1113</v>
      </c>
      <c r="N10">
        <v>1.85</v>
      </c>
    </row>
    <row r="11" spans="1:14" ht="15">
      <c r="A11" s="72" t="s">
        <v>604</v>
      </c>
      <c r="B11" s="251">
        <f>1296817/3.535</f>
        <v>366850.6364922206</v>
      </c>
      <c r="C11" s="235">
        <f aca="true" t="shared" si="0" ref="C11:C17">+B11/$B$19</f>
        <v>0.04373890268059835</v>
      </c>
      <c r="D11" s="251">
        <f>1541718/2.33</f>
        <v>661681.5450643777</v>
      </c>
      <c r="E11" s="235">
        <f aca="true" t="shared" si="1" ref="E11:E17">+D11/$D$19</f>
        <v>0.06379898336635874</v>
      </c>
      <c r="F11" s="252">
        <f aca="true" t="shared" si="2" ref="F11:F17">+B11/D11-1</f>
        <v>-0.4455782555390324</v>
      </c>
      <c r="G11" s="235"/>
      <c r="H11" s="235"/>
      <c r="J11" s="36">
        <v>1472197</v>
      </c>
      <c r="K11" s="36">
        <f aca="true" t="shared" si="3" ref="K11:K17">+J11/$K$10</f>
        <v>754972.8205128205</v>
      </c>
      <c r="L11" s="36"/>
      <c r="M11" s="36">
        <v>1381892</v>
      </c>
      <c r="N11" s="36">
        <f aca="true" t="shared" si="4" ref="N11:N17">+M11/$N$10</f>
        <v>746968.6486486486</v>
      </c>
    </row>
    <row r="12" spans="1:14" ht="15">
      <c r="A12" s="72" t="s">
        <v>605</v>
      </c>
      <c r="B12" s="214">
        <f>5885285/3.535</f>
        <v>1664861.3861386138</v>
      </c>
      <c r="C12" s="235">
        <f t="shared" si="0"/>
        <v>0.1984982521532223</v>
      </c>
      <c r="D12" s="214">
        <f>7240372/2.33</f>
        <v>3107455.793991416</v>
      </c>
      <c r="E12" s="235">
        <f t="shared" si="1"/>
        <v>0.2996192382746063</v>
      </c>
      <c r="F12" s="235">
        <f t="shared" si="2"/>
        <v>-0.464236501977665</v>
      </c>
      <c r="G12" s="235"/>
      <c r="H12" s="235"/>
      <c r="J12" s="36">
        <v>4965957</v>
      </c>
      <c r="K12" s="36">
        <f t="shared" si="3"/>
        <v>2546644.6153846155</v>
      </c>
      <c r="L12" s="36"/>
      <c r="M12" s="36">
        <v>5633293</v>
      </c>
      <c r="N12" s="36">
        <f t="shared" si="4"/>
        <v>3045023.243243243</v>
      </c>
    </row>
    <row r="13" spans="1:14" ht="15">
      <c r="A13" s="72" t="s">
        <v>606</v>
      </c>
      <c r="B13" s="214">
        <f>13849286/3.535</f>
        <v>3917761.244695898</v>
      </c>
      <c r="C13" s="235">
        <f t="shared" si="0"/>
        <v>0.4671072113873995</v>
      </c>
      <c r="D13" s="214">
        <f>9400538/2.33</f>
        <v>4034565.665236051</v>
      </c>
      <c r="E13" s="235">
        <f t="shared" si="1"/>
        <v>0.3890106799666496</v>
      </c>
      <c r="F13" s="235">
        <f t="shared" si="2"/>
        <v>-0.028950928112684293</v>
      </c>
      <c r="G13" s="235"/>
      <c r="H13" s="235"/>
      <c r="J13" s="36">
        <v>7501699</v>
      </c>
      <c r="K13" s="36">
        <f t="shared" si="3"/>
        <v>3847025.1282051285</v>
      </c>
      <c r="L13" s="36"/>
      <c r="M13" s="36">
        <v>4504206</v>
      </c>
      <c r="N13" s="36">
        <f t="shared" si="4"/>
        <v>2434705.945945946</v>
      </c>
    </row>
    <row r="14" spans="1:14" ht="15">
      <c r="A14" s="72" t="s">
        <v>607</v>
      </c>
      <c r="B14" s="214">
        <f>7116471/3.535</f>
        <v>2013145.9688826024</v>
      </c>
      <c r="C14" s="235">
        <f t="shared" si="0"/>
        <v>0.2400235596065601</v>
      </c>
      <c r="D14" s="214">
        <f>4444401/2.33</f>
        <v>1907468.2403433477</v>
      </c>
      <c r="E14" s="235">
        <f t="shared" si="1"/>
        <v>0.183917075283825</v>
      </c>
      <c r="F14" s="235">
        <f t="shared" si="2"/>
        <v>0.05540209074214131</v>
      </c>
      <c r="G14" s="235"/>
      <c r="H14" s="235"/>
      <c r="J14" s="36">
        <v>1816282</v>
      </c>
      <c r="K14" s="36">
        <f t="shared" si="3"/>
        <v>931426.6666666667</v>
      </c>
      <c r="L14" s="36"/>
      <c r="M14" s="36">
        <v>487259</v>
      </c>
      <c r="N14" s="36">
        <f t="shared" si="4"/>
        <v>263383.24324324325</v>
      </c>
    </row>
    <row r="15" spans="1:14" ht="15">
      <c r="A15" s="72" t="s">
        <v>592</v>
      </c>
      <c r="B15" s="214">
        <f>250838/3.535</f>
        <v>70958.41584158415</v>
      </c>
      <c r="C15" s="235">
        <f t="shared" si="0"/>
        <v>0.008460236772494446</v>
      </c>
      <c r="D15" s="214">
        <f>330161/2.33</f>
        <v>141700</v>
      </c>
      <c r="E15" s="235">
        <f t="shared" si="1"/>
        <v>0.013662638788170317</v>
      </c>
      <c r="F15" s="235">
        <f t="shared" si="2"/>
        <v>-0.4992348917319397</v>
      </c>
      <c r="G15" s="235"/>
      <c r="H15" s="235"/>
      <c r="J15" s="36">
        <v>281940</v>
      </c>
      <c r="K15" s="36">
        <f t="shared" si="3"/>
        <v>144584.61538461538</v>
      </c>
      <c r="L15" s="36"/>
      <c r="M15" s="36">
        <v>291910</v>
      </c>
      <c r="N15" s="36">
        <f t="shared" si="4"/>
        <v>157789.18918918917</v>
      </c>
    </row>
    <row r="16" spans="1:14" ht="15">
      <c r="A16" s="72" t="s">
        <v>608</v>
      </c>
      <c r="B16" s="120">
        <f>919664/3.535</f>
        <v>260159.54738330975</v>
      </c>
      <c r="C16" s="235">
        <f t="shared" si="0"/>
        <v>0.031018327331342667</v>
      </c>
      <c r="D16" s="120">
        <f>850088/2.33</f>
        <v>364844.635193133</v>
      </c>
      <c r="E16" s="235">
        <f t="shared" si="1"/>
        <v>0.03517812607230451</v>
      </c>
      <c r="F16" s="235">
        <f t="shared" si="2"/>
        <v>-0.2869305937701606</v>
      </c>
      <c r="G16" s="235"/>
      <c r="H16" s="235"/>
      <c r="J16" s="36">
        <v>341173</v>
      </c>
      <c r="K16" s="36">
        <f t="shared" si="3"/>
        <v>174960.5128205128</v>
      </c>
      <c r="L16" s="36"/>
      <c r="M16" s="36">
        <v>289697</v>
      </c>
      <c r="N16" s="36">
        <f t="shared" si="4"/>
        <v>156592.97297297296</v>
      </c>
    </row>
    <row r="17" spans="1:14" ht="15">
      <c r="A17" s="72" t="s">
        <v>609</v>
      </c>
      <c r="B17" s="214">
        <f>330691/3.535</f>
        <v>93547.66619519095</v>
      </c>
      <c r="C17" s="235">
        <f t="shared" si="0"/>
        <v>0.011153510068382626</v>
      </c>
      <c r="D17" s="214">
        <f>357966/2.33</f>
        <v>153633.47639484977</v>
      </c>
      <c r="E17" s="235">
        <f t="shared" si="1"/>
        <v>0.014813258248085557</v>
      </c>
      <c r="F17" s="235">
        <f t="shared" si="2"/>
        <v>-0.39109842209931966</v>
      </c>
      <c r="G17" s="235"/>
      <c r="H17" s="235"/>
      <c r="J17" s="36">
        <v>178565</v>
      </c>
      <c r="K17" s="36">
        <f t="shared" si="3"/>
        <v>91571.79487179487</v>
      </c>
      <c r="L17" s="36"/>
      <c r="M17" s="36">
        <v>137860</v>
      </c>
      <c r="N17" s="36">
        <f t="shared" si="4"/>
        <v>74518.91891891892</v>
      </c>
    </row>
    <row r="18" spans="1:14" ht="15">
      <c r="A18" s="2" t="s">
        <v>686</v>
      </c>
      <c r="B18" s="250"/>
      <c r="C18" s="235"/>
      <c r="D18" s="250"/>
      <c r="E18" s="156"/>
      <c r="F18" s="235"/>
      <c r="G18" s="235"/>
      <c r="H18" s="235"/>
      <c r="J18" s="36"/>
      <c r="K18" s="36"/>
      <c r="L18" s="36"/>
      <c r="M18" s="36"/>
      <c r="N18" s="36"/>
    </row>
    <row r="19" spans="1:14" ht="14.25">
      <c r="A19" s="237" t="s">
        <v>674</v>
      </c>
      <c r="B19" s="238">
        <f>SUM(B11:B18)</f>
        <v>8387284.86562942</v>
      </c>
      <c r="C19" s="239">
        <f>SUM(C11:C18)</f>
        <v>1</v>
      </c>
      <c r="D19" s="238">
        <f>SUM(D11:D18)</f>
        <v>10371349.356223175</v>
      </c>
      <c r="E19" s="240">
        <f>SUM(E11:E18)</f>
        <v>1.0000000000000002</v>
      </c>
      <c r="F19" s="240">
        <f>+(B19/D19)-1</f>
        <v>-0.19130244507704752</v>
      </c>
      <c r="G19" s="241"/>
      <c r="H19" s="241"/>
      <c r="J19" s="36">
        <f>SUM(J11:J18)</f>
        <v>16557813</v>
      </c>
      <c r="K19" s="36">
        <f>SUM(K11:K18)</f>
        <v>8491186.153846152</v>
      </c>
      <c r="L19" s="36"/>
      <c r="M19" s="36">
        <f>SUM(M11:M18)</f>
        <v>12726117</v>
      </c>
      <c r="N19" s="36">
        <f>SUM(N11:N18)</f>
        <v>6878982.162162162</v>
      </c>
    </row>
    <row r="20" spans="1:8" ht="15">
      <c r="A20" s="5"/>
      <c r="B20" s="5"/>
      <c r="C20" s="5"/>
      <c r="D20" s="5"/>
      <c r="E20" s="5"/>
      <c r="F20" s="5"/>
      <c r="G20" s="5"/>
      <c r="H20" s="5"/>
    </row>
    <row r="21" spans="1:8" s="126" customFormat="1" ht="12.75">
      <c r="A21" s="253" t="s">
        <v>610</v>
      </c>
      <c r="B21" s="254"/>
      <c r="C21" s="254"/>
      <c r="D21" s="254"/>
      <c r="E21" s="254"/>
      <c r="F21" s="254"/>
      <c r="G21" s="254"/>
      <c r="H21" s="254"/>
    </row>
    <row r="22" spans="1:8" s="126" customFormat="1" ht="12.75">
      <c r="A22" s="521" t="s">
        <v>603</v>
      </c>
      <c r="B22" s="521"/>
      <c r="C22" s="521"/>
      <c r="D22" s="521"/>
      <c r="E22" s="521"/>
      <c r="F22" s="521"/>
      <c r="G22" s="254"/>
      <c r="H22" s="254"/>
    </row>
    <row r="23" spans="1:8" ht="12.75">
      <c r="A23" s="47"/>
      <c r="B23" s="47"/>
      <c r="C23" s="47"/>
      <c r="D23" s="47"/>
      <c r="E23" s="47"/>
      <c r="F23" s="47"/>
      <c r="G23" s="47"/>
      <c r="H23" s="47"/>
    </row>
    <row r="25" spans="1:2" ht="12.75">
      <c r="A25" s="72" t="s">
        <v>1124</v>
      </c>
      <c r="B25" s="127">
        <f aca="true" t="shared" si="5" ref="B25:B31">+C11</f>
        <v>0.04373890268059835</v>
      </c>
    </row>
    <row r="26" spans="1:2" ht="12.75">
      <c r="A26" s="72" t="s">
        <v>1122</v>
      </c>
      <c r="B26" s="127">
        <f t="shared" si="5"/>
        <v>0.1984982521532223</v>
      </c>
    </row>
    <row r="27" spans="1:2" ht="12.75">
      <c r="A27" s="72" t="s">
        <v>1123</v>
      </c>
      <c r="B27" s="127">
        <f t="shared" si="5"/>
        <v>0.4671072113873995</v>
      </c>
    </row>
    <row r="28" spans="1:2" ht="12.75">
      <c r="A28" s="72" t="s">
        <v>1129</v>
      </c>
      <c r="B28" s="127">
        <f t="shared" si="5"/>
        <v>0.2400235596065601</v>
      </c>
    </row>
    <row r="29" spans="1:2" ht="12.75">
      <c r="A29" s="72" t="s">
        <v>1115</v>
      </c>
      <c r="B29" s="127">
        <f t="shared" si="5"/>
        <v>0.008460236772494446</v>
      </c>
    </row>
    <row r="30" spans="1:2" ht="12.75">
      <c r="A30" s="72" t="s">
        <v>1125</v>
      </c>
      <c r="B30" s="127">
        <f t="shared" si="5"/>
        <v>0.031018327331342667</v>
      </c>
    </row>
    <row r="31" spans="1:2" ht="12.75">
      <c r="A31" s="72" t="s">
        <v>733</v>
      </c>
      <c r="B31" s="127">
        <f t="shared" si="5"/>
        <v>0.011153510068382626</v>
      </c>
    </row>
  </sheetData>
  <mergeCells count="4">
    <mergeCell ref="A4:F4"/>
    <mergeCell ref="A5:F5"/>
    <mergeCell ref="A6:F6"/>
    <mergeCell ref="A22:F22"/>
  </mergeCells>
  <printOptions horizontalCentered="1"/>
  <pageMargins left="0.75" right="0.75" top="1" bottom="1" header="0" footer="0"/>
  <pageSetup horizontalDpi="300" verticalDpi="300" orientation="portrait" scale="90" r:id="rId2"/>
  <headerFooter alignWithMargins="0">
    <oddFooter>&amp;C63</oddFooter>
  </headerFooter>
  <drawing r:id="rId1"/>
</worksheet>
</file>

<file path=xl/worksheets/sheet5.xml><?xml version="1.0" encoding="utf-8"?>
<worksheet xmlns="http://schemas.openxmlformats.org/spreadsheetml/2006/main" xmlns:r="http://schemas.openxmlformats.org/officeDocument/2006/relationships">
  <dimension ref="A1:J52"/>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 min="9" max="9" width="11.421875" style="36" customWidth="1"/>
    <col min="10" max="10" width="13.8515625" style="0" bestFit="1"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660</v>
      </c>
      <c r="B5" s="523"/>
      <c r="C5" s="523"/>
      <c r="D5" s="523"/>
      <c r="E5" s="523"/>
      <c r="F5" s="524"/>
    </row>
    <row r="6" spans="1:6" ht="18.75" thickBot="1">
      <c r="A6" s="516" t="s">
        <v>905</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6" ht="15">
      <c r="A9" s="22"/>
      <c r="B9" s="2"/>
      <c r="C9" s="2"/>
      <c r="D9" s="2"/>
      <c r="E9" s="5"/>
      <c r="F9" s="5"/>
    </row>
    <row r="10" spans="1:6" ht="15">
      <c r="A10" s="22"/>
      <c r="B10" s="2"/>
      <c r="C10" s="2"/>
      <c r="D10" s="2"/>
      <c r="E10" s="5"/>
      <c r="F10" s="5"/>
    </row>
    <row r="11" spans="1:10" ht="14.25">
      <c r="A11" s="7" t="s">
        <v>661</v>
      </c>
      <c r="B11" s="7" t="s">
        <v>735</v>
      </c>
      <c r="C11" s="7" t="s">
        <v>712</v>
      </c>
      <c r="D11" s="7" t="s">
        <v>735</v>
      </c>
      <c r="E11" s="7" t="s">
        <v>712</v>
      </c>
      <c r="F11" s="7" t="s">
        <v>713</v>
      </c>
      <c r="I11" s="93" t="s">
        <v>740</v>
      </c>
      <c r="J11" t="s">
        <v>903</v>
      </c>
    </row>
    <row r="12" spans="1:10" ht="15">
      <c r="A12" s="23" t="s">
        <v>714</v>
      </c>
      <c r="B12" s="23" t="s">
        <v>736</v>
      </c>
      <c r="C12" s="24" t="s">
        <v>715</v>
      </c>
      <c r="D12" s="23" t="s">
        <v>736</v>
      </c>
      <c r="E12" s="24" t="s">
        <v>715</v>
      </c>
      <c r="F12" s="159" t="s">
        <v>884</v>
      </c>
      <c r="I12" s="93" t="s">
        <v>902</v>
      </c>
      <c r="J12">
        <v>3.61</v>
      </c>
    </row>
    <row r="13" spans="1:6" ht="15">
      <c r="A13" s="9"/>
      <c r="B13" s="25" t="s">
        <v>979</v>
      </c>
      <c r="C13" s="9" t="s">
        <v>716</v>
      </c>
      <c r="D13" s="26" t="s">
        <v>921</v>
      </c>
      <c r="E13" s="9" t="s">
        <v>716</v>
      </c>
      <c r="F13" s="26"/>
    </row>
    <row r="14" spans="1:6" ht="15">
      <c r="A14" s="5" t="s">
        <v>686</v>
      </c>
      <c r="B14" s="19"/>
      <c r="C14" s="20"/>
      <c r="D14" s="19"/>
      <c r="E14" s="20"/>
      <c r="F14" s="20"/>
    </row>
    <row r="15" spans="1:10" ht="15">
      <c r="A15" s="5" t="s">
        <v>666</v>
      </c>
      <c r="B15" s="11">
        <v>825010</v>
      </c>
      <c r="C15" s="12">
        <f aca="true" t="shared" si="0" ref="C15:C26">+B15/$B$28</f>
        <v>0.07231234909910424</v>
      </c>
      <c r="D15" s="11">
        <v>1508721</v>
      </c>
      <c r="E15" s="12">
        <f>+D15/$D$28</f>
        <v>0.07258261684233881</v>
      </c>
      <c r="F15" s="12">
        <f>+(B15-D15)/D15</f>
        <v>-0.45317258790724063</v>
      </c>
      <c r="I15" s="36">
        <v>2544966</v>
      </c>
      <c r="J15" s="36">
        <f>+I15/$J$12</f>
        <v>704976.7313019391</v>
      </c>
    </row>
    <row r="16" spans="1:10" ht="15">
      <c r="A16" s="5" t="s">
        <v>667</v>
      </c>
      <c r="B16" s="11">
        <v>2325807</v>
      </c>
      <c r="C16" s="12">
        <f t="shared" si="0"/>
        <v>0.2038576110848842</v>
      </c>
      <c r="D16" s="11">
        <v>4192725</v>
      </c>
      <c r="E16" s="12">
        <f>+D16/$D$28</f>
        <v>0.2017065794141495</v>
      </c>
      <c r="F16" s="12">
        <f aca="true" t="shared" si="1" ref="F16:F28">+(B16-D16)/D16</f>
        <v>-0.4452755666064433</v>
      </c>
      <c r="I16" s="36">
        <v>7188210</v>
      </c>
      <c r="J16" s="36">
        <f aca="true" t="shared" si="2" ref="J16:J26">+I16/$J$12</f>
        <v>1991193.9058171746</v>
      </c>
    </row>
    <row r="17" spans="1:10" ht="15">
      <c r="A17" s="5" t="s">
        <v>668</v>
      </c>
      <c r="B17" s="11">
        <v>152720</v>
      </c>
      <c r="C17" s="12">
        <f t="shared" si="0"/>
        <v>0.01338594920596744</v>
      </c>
      <c r="D17" s="11">
        <v>288301</v>
      </c>
      <c r="E17" s="12">
        <f>+D17/$D$28</f>
        <v>0.013869788395775708</v>
      </c>
      <c r="F17" s="12">
        <f t="shared" si="1"/>
        <v>-0.4702758575239073</v>
      </c>
      <c r="I17" s="36">
        <v>472926</v>
      </c>
      <c r="J17" s="36">
        <f t="shared" si="2"/>
        <v>131004.432132964</v>
      </c>
    </row>
    <row r="18" spans="1:10" ht="15">
      <c r="A18" s="5" t="s">
        <v>669</v>
      </c>
      <c r="B18" s="11">
        <v>1695857</v>
      </c>
      <c r="C18" s="12">
        <f t="shared" si="0"/>
        <v>0.1486423236156648</v>
      </c>
      <c r="D18" s="11">
        <v>3161968</v>
      </c>
      <c r="E18" s="12">
        <f>+D18/$D$28</f>
        <v>0.1521181927021208</v>
      </c>
      <c r="F18" s="12">
        <f t="shared" si="1"/>
        <v>-0.46367041032673323</v>
      </c>
      <c r="I18" s="36">
        <v>5285262</v>
      </c>
      <c r="J18" s="36">
        <f t="shared" si="2"/>
        <v>1464061.4958448755</v>
      </c>
    </row>
    <row r="19" spans="1:10" ht="15">
      <c r="A19" s="5" t="s">
        <v>885</v>
      </c>
      <c r="B19" s="11">
        <v>392592</v>
      </c>
      <c r="C19" s="12">
        <f t="shared" si="0"/>
        <v>0.034410794726749405</v>
      </c>
      <c r="D19" s="11">
        <v>223527</v>
      </c>
      <c r="E19" s="12">
        <f>+D19/$D$28</f>
        <v>0.01075359499530892</v>
      </c>
      <c r="F19" s="12">
        <f>+(B19-D19)/D19</f>
        <v>0.7563515816881182</v>
      </c>
      <c r="I19" s="36">
        <v>1019394</v>
      </c>
      <c r="J19" s="36">
        <f t="shared" si="2"/>
        <v>282380.6094182826</v>
      </c>
    </row>
    <row r="20" spans="1:10" ht="15">
      <c r="A20" s="5" t="s">
        <v>670</v>
      </c>
      <c r="B20" s="11">
        <v>826122</v>
      </c>
      <c r="C20" s="12">
        <f t="shared" si="0"/>
        <v>0.07240981619913721</v>
      </c>
      <c r="D20" s="11">
        <v>1449049</v>
      </c>
      <c r="E20" s="12">
        <f aca="true" t="shared" si="3" ref="E20:E26">+D20/$D$28</f>
        <v>0.06971187406602959</v>
      </c>
      <c r="F20" s="12">
        <f t="shared" si="1"/>
        <v>-0.42988677401523345</v>
      </c>
      <c r="I20" s="36">
        <v>2481633</v>
      </c>
      <c r="J20" s="36">
        <f t="shared" si="2"/>
        <v>687432.9639889197</v>
      </c>
    </row>
    <row r="21" spans="1:10" ht="15">
      <c r="A21" s="5" t="s">
        <v>865</v>
      </c>
      <c r="B21" s="11">
        <v>2549791</v>
      </c>
      <c r="C21" s="12">
        <f t="shared" si="0"/>
        <v>0.22348986911886412</v>
      </c>
      <c r="D21" s="11">
        <v>4846884</v>
      </c>
      <c r="E21" s="12">
        <f t="shared" si="3"/>
        <v>0.2331773232103633</v>
      </c>
      <c r="F21" s="12">
        <f t="shared" si="1"/>
        <v>-0.4739319117189518</v>
      </c>
      <c r="I21" s="36">
        <v>7948077</v>
      </c>
      <c r="J21" s="36">
        <f t="shared" si="2"/>
        <v>2201683.379501385</v>
      </c>
    </row>
    <row r="22" spans="1:10" ht="15">
      <c r="A22" s="5" t="s">
        <v>671</v>
      </c>
      <c r="B22" s="11">
        <v>264809</v>
      </c>
      <c r="C22" s="12">
        <f t="shared" si="0"/>
        <v>0.023210580299129334</v>
      </c>
      <c r="D22" s="11">
        <v>472747</v>
      </c>
      <c r="E22" s="12">
        <f t="shared" si="3"/>
        <v>0.022743247004824052</v>
      </c>
      <c r="F22" s="12">
        <f t="shared" si="1"/>
        <v>-0.4398504908545163</v>
      </c>
      <c r="I22" s="36">
        <v>801388</v>
      </c>
      <c r="J22" s="36">
        <f t="shared" si="2"/>
        <v>221991.13573407204</v>
      </c>
    </row>
    <row r="23" spans="1:10" ht="15">
      <c r="A23" s="5" t="s">
        <v>672</v>
      </c>
      <c r="B23" s="11">
        <v>81168</v>
      </c>
      <c r="C23" s="12">
        <f t="shared" si="0"/>
        <v>0.007114397100248594</v>
      </c>
      <c r="D23" s="11">
        <v>148513</v>
      </c>
      <c r="E23" s="12">
        <f t="shared" si="3"/>
        <v>0.007144768433067655</v>
      </c>
      <c r="F23" s="12">
        <f t="shared" si="1"/>
        <v>-0.4534619864927649</v>
      </c>
      <c r="I23" s="36">
        <v>251325</v>
      </c>
      <c r="J23" s="36">
        <f t="shared" si="2"/>
        <v>69619.1135734072</v>
      </c>
    </row>
    <row r="24" spans="1:10" ht="15">
      <c r="A24" s="5" t="s">
        <v>818</v>
      </c>
      <c r="B24" s="11">
        <v>247380</v>
      </c>
      <c r="C24" s="12">
        <f t="shared" si="0"/>
        <v>0.02168292374654417</v>
      </c>
      <c r="D24" s="11">
        <v>475436</v>
      </c>
      <c r="E24" s="12">
        <f t="shared" si="3"/>
        <v>0.022872611318497056</v>
      </c>
      <c r="F24" s="12">
        <f t="shared" si="1"/>
        <v>-0.4796776011913275</v>
      </c>
      <c r="I24" s="36">
        <v>777978</v>
      </c>
      <c r="J24" s="36">
        <f t="shared" si="2"/>
        <v>215506.37119113575</v>
      </c>
    </row>
    <row r="25" spans="1:10" ht="15">
      <c r="A25" s="5" t="s">
        <v>989</v>
      </c>
      <c r="B25" s="11">
        <v>1954195</v>
      </c>
      <c r="C25" s="12">
        <f t="shared" si="0"/>
        <v>0.17128571901882886</v>
      </c>
      <c r="D25" s="11">
        <v>3869449</v>
      </c>
      <c r="E25" s="12">
        <f t="shared" si="3"/>
        <v>0.18615418898389502</v>
      </c>
      <c r="F25" s="12">
        <f t="shared" si="1"/>
        <v>-0.4949681466275948</v>
      </c>
      <c r="I25" s="36">
        <v>6094371</v>
      </c>
      <c r="J25" s="36">
        <f t="shared" si="2"/>
        <v>1688191.4127423824</v>
      </c>
    </row>
    <row r="26" spans="1:10" ht="15">
      <c r="A26" s="5" t="s">
        <v>673</v>
      </c>
      <c r="B26" s="11">
        <v>93527</v>
      </c>
      <c r="C26" s="12">
        <f t="shared" si="0"/>
        <v>0.008197666784877664</v>
      </c>
      <c r="D26" s="11">
        <v>148938</v>
      </c>
      <c r="E26" s="12">
        <f t="shared" si="3"/>
        <v>0.007165214633629583</v>
      </c>
      <c r="F26" s="12">
        <f t="shared" si="1"/>
        <v>-0.37204071492835944</v>
      </c>
      <c r="I26" s="36">
        <v>276243</v>
      </c>
      <c r="J26" s="36">
        <f t="shared" si="2"/>
        <v>76521.60664819945</v>
      </c>
    </row>
    <row r="27" spans="1:6" ht="15">
      <c r="A27" s="5"/>
      <c r="B27" s="11"/>
      <c r="C27" s="12"/>
      <c r="D27" s="19"/>
      <c r="E27" s="12"/>
      <c r="F27" s="12"/>
    </row>
    <row r="28" spans="1:10" ht="14.25">
      <c r="A28" s="13" t="s">
        <v>674</v>
      </c>
      <c r="B28" s="21">
        <f>SUM(B15:B26)</f>
        <v>11408978</v>
      </c>
      <c r="C28" s="16">
        <f>SUM(C15:C26)</f>
        <v>1</v>
      </c>
      <c r="D28" s="21">
        <f>SUM(D15:D26)</f>
        <v>20786258</v>
      </c>
      <c r="E28" s="16">
        <f>SUM(E15:E26)</f>
        <v>1</v>
      </c>
      <c r="F28" s="16">
        <f t="shared" si="1"/>
        <v>-0.45112881789497655</v>
      </c>
      <c r="I28" s="36">
        <f>SUM(I15:I27)</f>
        <v>35141773</v>
      </c>
      <c r="J28" s="36">
        <f>SUM(J15:J27)</f>
        <v>9734563.157894736</v>
      </c>
    </row>
    <row r="29" spans="1:6" ht="15">
      <c r="A29" s="5" t="s">
        <v>686</v>
      </c>
      <c r="B29" s="19"/>
      <c r="C29" s="20"/>
      <c r="D29" s="19"/>
      <c r="E29" s="20"/>
      <c r="F29" s="20"/>
    </row>
    <row r="30" spans="1:6" ht="12.75">
      <c r="A30" s="69" t="s">
        <v>1156</v>
      </c>
      <c r="B30" s="18"/>
      <c r="C30" s="18"/>
      <c r="D30" s="18"/>
      <c r="E30" s="18"/>
      <c r="F30" s="18"/>
    </row>
    <row r="31" spans="1:6" ht="12.75">
      <c r="A31" s="68" t="s">
        <v>1157</v>
      </c>
      <c r="B31" s="18"/>
      <c r="C31" s="18"/>
      <c r="D31" s="18"/>
      <c r="E31" s="18"/>
      <c r="F31" s="18"/>
    </row>
    <row r="32" spans="1:6" ht="12.75">
      <c r="A32" s="68"/>
      <c r="B32" s="18"/>
      <c r="C32" s="18"/>
      <c r="D32" s="18"/>
      <c r="E32" s="18"/>
      <c r="F32" s="18"/>
    </row>
    <row r="33" spans="1:6" ht="12.75">
      <c r="A33" s="72" t="s">
        <v>990</v>
      </c>
      <c r="B33" s="18"/>
      <c r="C33" s="18"/>
      <c r="D33" s="18"/>
      <c r="E33" s="18"/>
      <c r="F33" s="18"/>
    </row>
    <row r="34" spans="1:6" ht="12.75">
      <c r="A34" s="72" t="s">
        <v>991</v>
      </c>
      <c r="B34" s="18"/>
      <c r="C34" s="18"/>
      <c r="D34" s="18"/>
      <c r="E34" s="18"/>
      <c r="F34" s="18"/>
    </row>
    <row r="35" ht="12.75">
      <c r="A35" s="34"/>
    </row>
    <row r="36" spans="1:10" ht="14.25">
      <c r="A36" s="7"/>
      <c r="B36" s="7" t="s">
        <v>735</v>
      </c>
      <c r="C36" s="7" t="s">
        <v>712</v>
      </c>
      <c r="D36" s="7" t="s">
        <v>735</v>
      </c>
      <c r="E36" s="7" t="s">
        <v>712</v>
      </c>
      <c r="F36" s="7" t="s">
        <v>713</v>
      </c>
      <c r="I36" t="s">
        <v>629</v>
      </c>
      <c r="J36" t="s">
        <v>630</v>
      </c>
    </row>
    <row r="37" spans="1:10" ht="15">
      <c r="A37" s="23"/>
      <c r="B37" s="23" t="s">
        <v>736</v>
      </c>
      <c r="C37" s="24" t="s">
        <v>715</v>
      </c>
      <c r="D37" s="23" t="s">
        <v>736</v>
      </c>
      <c r="E37" s="24" t="s">
        <v>715</v>
      </c>
      <c r="F37" s="159" t="s">
        <v>884</v>
      </c>
      <c r="I37" t="s">
        <v>882</v>
      </c>
      <c r="J37">
        <v>2400</v>
      </c>
    </row>
    <row r="38" spans="1:9" ht="15">
      <c r="A38" s="9"/>
      <c r="B38" s="25" t="s">
        <v>979</v>
      </c>
      <c r="C38" s="9" t="s">
        <v>716</v>
      </c>
      <c r="D38" s="26" t="s">
        <v>921</v>
      </c>
      <c r="E38" s="9" t="s">
        <v>716</v>
      </c>
      <c r="F38" s="26"/>
      <c r="I38"/>
    </row>
    <row r="39" spans="1:9" ht="26.25">
      <c r="A39" s="178" t="s">
        <v>992</v>
      </c>
      <c r="B39" s="219">
        <v>368243</v>
      </c>
      <c r="C39" s="225">
        <v>1</v>
      </c>
      <c r="D39" s="219">
        <v>299652</v>
      </c>
      <c r="E39" s="180">
        <v>1</v>
      </c>
      <c r="F39" s="181">
        <f>(B39-D39)/D39</f>
        <v>0.2289021932107912</v>
      </c>
      <c r="I39"/>
    </row>
    <row r="40" ht="12.75">
      <c r="A40" s="34" t="s">
        <v>993</v>
      </c>
    </row>
    <row r="43" ht="12.75">
      <c r="B43" t="s">
        <v>739</v>
      </c>
    </row>
    <row r="44" spans="1:2" ht="12.75">
      <c r="A44">
        <v>1994</v>
      </c>
      <c r="B44" s="36">
        <v>524.885</v>
      </c>
    </row>
    <row r="45" spans="1:2" ht="12.75">
      <c r="A45">
        <v>1995</v>
      </c>
      <c r="B45" s="36">
        <v>2497.04</v>
      </c>
    </row>
    <row r="46" spans="1:2" ht="12.75">
      <c r="A46">
        <v>1996</v>
      </c>
      <c r="B46" s="36">
        <v>5325.872</v>
      </c>
    </row>
    <row r="47" spans="1:2" ht="12.75">
      <c r="A47">
        <v>1997</v>
      </c>
      <c r="B47" s="36">
        <v>8827.147</v>
      </c>
    </row>
    <row r="48" spans="1:2" ht="12.75">
      <c r="A48">
        <v>1998</v>
      </c>
      <c r="B48" s="36">
        <v>11526.393</v>
      </c>
    </row>
    <row r="49" spans="1:2" ht="12.75">
      <c r="A49">
        <v>1999</v>
      </c>
      <c r="B49" s="36">
        <v>16787.099</v>
      </c>
    </row>
    <row r="50" spans="1:2" ht="12.75">
      <c r="A50" s="80">
        <v>2000</v>
      </c>
      <c r="B50" s="36">
        <v>20381.472</v>
      </c>
    </row>
    <row r="51" spans="1:2" ht="12.75">
      <c r="A51" s="80">
        <v>2001</v>
      </c>
      <c r="B51" s="36">
        <v>20786.258</v>
      </c>
    </row>
    <row r="52" spans="1:2" ht="12.75">
      <c r="A52" s="57">
        <v>2002</v>
      </c>
      <c r="B52" s="36">
        <f>+B28/1000</f>
        <v>11408.978</v>
      </c>
    </row>
  </sheetData>
  <mergeCells count="4">
    <mergeCell ref="A6:F6"/>
    <mergeCell ref="A5:F5"/>
    <mergeCell ref="A7:F7"/>
    <mergeCell ref="A8:F8"/>
  </mergeCells>
  <printOptions horizontalCentered="1"/>
  <pageMargins left="0.75" right="0.75" top="1" bottom="1" header="0" footer="0"/>
  <pageSetup horizontalDpi="300" verticalDpi="300" orientation="portrait" scale="90" r:id="rId2"/>
  <headerFooter alignWithMargins="0">
    <oddFooter>&amp;C19</oddFooter>
  </headerFooter>
  <drawing r:id="rId1"/>
</worksheet>
</file>

<file path=xl/worksheets/sheet50.xml><?xml version="1.0" encoding="utf-8"?>
<worksheet xmlns="http://schemas.openxmlformats.org/spreadsheetml/2006/main" xmlns:r="http://schemas.openxmlformats.org/officeDocument/2006/relationships">
  <dimension ref="A1:L32"/>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10" max="10" width="12.8515625" style="0" customWidth="1"/>
    <col min="12" max="12" width="12.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831</v>
      </c>
      <c r="B4" s="580"/>
      <c r="C4" s="580"/>
      <c r="D4" s="580"/>
      <c r="E4" s="580"/>
      <c r="F4" s="581"/>
    </row>
    <row r="5" spans="1:6" ht="15.75">
      <c r="A5" s="525" t="s">
        <v>654</v>
      </c>
      <c r="B5" s="525"/>
      <c r="C5" s="525"/>
      <c r="D5" s="525"/>
      <c r="E5" s="525"/>
      <c r="F5" s="525"/>
    </row>
    <row r="6" spans="1:6" ht="15.75">
      <c r="A6" s="526" t="s">
        <v>655</v>
      </c>
      <c r="B6" s="526"/>
      <c r="C6" s="526"/>
      <c r="D6" s="526"/>
      <c r="E6" s="526"/>
      <c r="F6" s="526"/>
    </row>
    <row r="7" spans="1:6" ht="15.75">
      <c r="A7" s="6"/>
      <c r="B7" s="5"/>
      <c r="C7" s="5"/>
      <c r="D7" s="5"/>
      <c r="E7" s="5"/>
      <c r="F7" s="5"/>
    </row>
    <row r="8" spans="1:6" ht="15">
      <c r="A8" s="5"/>
      <c r="B8" s="230" t="s">
        <v>1082</v>
      </c>
      <c r="C8" s="2"/>
      <c r="D8" s="230" t="s">
        <v>1082</v>
      </c>
      <c r="E8" s="2"/>
      <c r="F8" s="47"/>
    </row>
    <row r="9" spans="1:12" ht="15">
      <c r="A9" s="5"/>
      <c r="B9" s="231" t="s">
        <v>1083</v>
      </c>
      <c r="C9" s="2"/>
      <c r="D9" s="231" t="s">
        <v>1083</v>
      </c>
      <c r="E9" s="2"/>
      <c r="F9" s="232"/>
      <c r="I9" t="s">
        <v>1130</v>
      </c>
      <c r="J9" t="s">
        <v>1131</v>
      </c>
      <c r="K9" t="s">
        <v>1130</v>
      </c>
      <c r="L9" t="s">
        <v>1131</v>
      </c>
    </row>
    <row r="10" spans="1:12" ht="15">
      <c r="A10" s="5"/>
      <c r="B10" s="248" t="s">
        <v>882</v>
      </c>
      <c r="C10" s="248" t="s">
        <v>665</v>
      </c>
      <c r="D10" s="248" t="s">
        <v>823</v>
      </c>
      <c r="E10" s="233" t="s">
        <v>665</v>
      </c>
      <c r="F10" s="233" t="s">
        <v>883</v>
      </c>
      <c r="I10" t="s">
        <v>855</v>
      </c>
      <c r="J10">
        <v>2.1319</v>
      </c>
      <c r="K10" t="s">
        <v>797</v>
      </c>
      <c r="L10">
        <v>2.1119</v>
      </c>
    </row>
    <row r="11" spans="1:12" ht="15">
      <c r="A11" s="2" t="s">
        <v>611</v>
      </c>
      <c r="B11" s="255">
        <f>SUM(B12:B13)</f>
        <v>70892</v>
      </c>
      <c r="C11" s="156">
        <f>SUM(C12:C13)</f>
        <v>0.5994588195501437</v>
      </c>
      <c r="D11" s="155">
        <f>SUM(D12:D13)</f>
        <v>27647</v>
      </c>
      <c r="E11" s="156">
        <f>SUM(E12:E13)</f>
        <v>0.6326544622425629</v>
      </c>
      <c r="F11" s="156">
        <f>+(B11/D11)-1</f>
        <v>1.5641841791152746</v>
      </c>
      <c r="I11" s="90">
        <f>SUM(I12:I13)</f>
        <v>66421</v>
      </c>
      <c r="J11" s="36">
        <f>+I11/$J$10</f>
        <v>31155.776537361042</v>
      </c>
      <c r="K11" s="90">
        <f>SUM(K12:K13)</f>
        <v>51033</v>
      </c>
      <c r="L11" s="36">
        <f>+K11/L10</f>
        <v>24164.496425020126</v>
      </c>
    </row>
    <row r="12" spans="1:12" ht="15">
      <c r="A12" s="234" t="s">
        <v>612</v>
      </c>
      <c r="B12" s="214">
        <v>70226</v>
      </c>
      <c r="C12" s="256">
        <f>+B12/$B$23</f>
        <v>0.5938271604938271</v>
      </c>
      <c r="D12" s="105">
        <v>23735</v>
      </c>
      <c r="E12" s="256">
        <f>+D12/$D$23</f>
        <v>0.5431350114416476</v>
      </c>
      <c r="F12" s="107">
        <f>+(B12-D12)/D12</f>
        <v>1.9587528965662524</v>
      </c>
      <c r="I12" s="36">
        <v>57836</v>
      </c>
      <c r="J12" s="36">
        <f>+I12/$J$10</f>
        <v>27128.852197570242</v>
      </c>
      <c r="K12" s="36">
        <v>43970</v>
      </c>
      <c r="L12" s="36">
        <f>+K12/L10</f>
        <v>20820.114588758937</v>
      </c>
    </row>
    <row r="13" spans="1:12" ht="15">
      <c r="A13" s="234" t="s">
        <v>613</v>
      </c>
      <c r="B13" s="214">
        <v>666</v>
      </c>
      <c r="C13" s="256">
        <f>+B13/$B$23</f>
        <v>0.005631659056316591</v>
      </c>
      <c r="D13" s="105">
        <v>3912</v>
      </c>
      <c r="E13" s="256">
        <f>+D13/$D$23</f>
        <v>0.08951945080091533</v>
      </c>
      <c r="F13" s="107">
        <f>+(B13-D13)/D13</f>
        <v>-0.8297546012269938</v>
      </c>
      <c r="I13" s="36">
        <v>8585</v>
      </c>
      <c r="J13" s="36">
        <f>+I13/$J$10</f>
        <v>4026.924339790797</v>
      </c>
      <c r="K13" s="36">
        <v>7063</v>
      </c>
      <c r="L13" s="36">
        <f>+K13/L10</f>
        <v>3344.381836261187</v>
      </c>
    </row>
    <row r="14" spans="1:12" ht="15">
      <c r="A14" s="234"/>
      <c r="B14" s="214"/>
      <c r="C14" s="256"/>
      <c r="D14" s="105"/>
      <c r="E14" s="256"/>
      <c r="F14" s="107"/>
      <c r="I14" s="36"/>
      <c r="J14" s="36"/>
      <c r="K14" s="36"/>
      <c r="L14" s="36"/>
    </row>
    <row r="15" spans="1:12" ht="15">
      <c r="A15" s="247" t="s">
        <v>1094</v>
      </c>
      <c r="B15" s="255">
        <v>2540</v>
      </c>
      <c r="C15" s="257">
        <f>+B15/$B$23</f>
        <v>0.02147809910366988</v>
      </c>
      <c r="D15" s="155">
        <v>356</v>
      </c>
      <c r="E15" s="156">
        <f>+D15/$D$23</f>
        <v>0.00814645308924485</v>
      </c>
      <c r="F15" s="156">
        <f>+(B15/D15)-1</f>
        <v>6.134831460674158</v>
      </c>
      <c r="I15" s="90">
        <v>1391</v>
      </c>
      <c r="J15" s="36">
        <f>+I15/$J$10</f>
        <v>652.4696280313336</v>
      </c>
      <c r="K15" s="90">
        <v>808</v>
      </c>
      <c r="L15" s="36">
        <f>+K15/L10</f>
        <v>382.59387281594775</v>
      </c>
    </row>
    <row r="16" spans="1:12" ht="15">
      <c r="A16" s="3"/>
      <c r="B16" s="214"/>
      <c r="C16" s="256"/>
      <c r="D16" s="105"/>
      <c r="E16" s="256"/>
      <c r="F16" s="107"/>
      <c r="I16" s="36"/>
      <c r="J16" s="36"/>
      <c r="K16" s="36"/>
      <c r="L16" s="36"/>
    </row>
    <row r="17" spans="1:12" ht="15">
      <c r="A17" s="96" t="s">
        <v>1099</v>
      </c>
      <c r="B17" s="258">
        <f>SUM(B18:B21)</f>
        <v>44828</v>
      </c>
      <c r="C17" s="259">
        <f>SUM(C18:C22)</f>
        <v>0.3790630813461864</v>
      </c>
      <c r="D17" s="260">
        <f>SUM(D18:D22)</f>
        <v>15697</v>
      </c>
      <c r="E17" s="259">
        <f>SUM(E18:E22)</f>
        <v>0.3591990846681922</v>
      </c>
      <c r="F17" s="259">
        <f>+(B17/D17)-1</f>
        <v>1.8558323246480217</v>
      </c>
      <c r="I17" s="90">
        <f>SUM(I18:I22)</f>
        <v>47539</v>
      </c>
      <c r="J17" s="36">
        <f>+I17/$J$10</f>
        <v>22298.888315587035</v>
      </c>
      <c r="K17" s="90">
        <f>SUM(K18:K22)</f>
        <v>32059</v>
      </c>
      <c r="L17" s="36">
        <f>+K17/$L$10</f>
        <v>15180.169515602065</v>
      </c>
    </row>
    <row r="18" spans="1:12" ht="15">
      <c r="A18" s="3" t="s">
        <v>614</v>
      </c>
      <c r="B18" s="214">
        <v>34138</v>
      </c>
      <c r="C18" s="256">
        <f>+B18/$B$23</f>
        <v>0.2886690343311348</v>
      </c>
      <c r="D18" s="105">
        <v>13700</v>
      </c>
      <c r="E18" s="256">
        <f>+D18/$D$23</f>
        <v>0.3135011441647597</v>
      </c>
      <c r="F18" s="107">
        <f>+(B18-D18)/D18</f>
        <v>1.4918248175182482</v>
      </c>
      <c r="I18" s="36">
        <v>39801</v>
      </c>
      <c r="J18" s="36">
        <f>+I18/$J$10</f>
        <v>18669.262160514096</v>
      </c>
      <c r="K18" s="36">
        <v>27383</v>
      </c>
      <c r="L18" s="36">
        <f>+K18/$L$10</f>
        <v>12966.049528860269</v>
      </c>
    </row>
    <row r="19" spans="1:12" ht="15">
      <c r="A19" s="234" t="s">
        <v>615</v>
      </c>
      <c r="B19" s="214">
        <v>4641</v>
      </c>
      <c r="C19" s="256">
        <f>+B19/$B$23</f>
        <v>0.039244038559107054</v>
      </c>
      <c r="D19" s="105">
        <v>1519</v>
      </c>
      <c r="E19" s="256">
        <f>+D19/$D$23</f>
        <v>0.034759725400457665</v>
      </c>
      <c r="F19" s="107">
        <f>+(B19-D19)/D19</f>
        <v>2.055299539170507</v>
      </c>
      <c r="I19" s="36">
        <v>5495</v>
      </c>
      <c r="J19" s="36">
        <f>+I19/$J$10</f>
        <v>2577.513016558</v>
      </c>
      <c r="K19" s="36">
        <v>3563</v>
      </c>
      <c r="L19" s="36">
        <f>+K19/$L$10</f>
        <v>1687.1063970831954</v>
      </c>
    </row>
    <row r="20" spans="1:12" ht="15">
      <c r="A20" s="234" t="s">
        <v>616</v>
      </c>
      <c r="B20" s="214">
        <v>5907</v>
      </c>
      <c r="C20" s="256">
        <f>+B20/$B$23</f>
        <v>0.049949264332825975</v>
      </c>
      <c r="D20" s="105">
        <v>478</v>
      </c>
      <c r="E20" s="256">
        <f>+D20/$D$23</f>
        <v>0.010938215102974828</v>
      </c>
      <c r="F20" s="107">
        <f>+(B21-D20)/D20</f>
        <v>-0.702928870292887</v>
      </c>
      <c r="I20" s="36"/>
      <c r="J20" s="36"/>
      <c r="K20" s="36"/>
      <c r="L20" s="36"/>
    </row>
    <row r="21" spans="1:12" ht="15">
      <c r="A21" s="234" t="s">
        <v>617</v>
      </c>
      <c r="B21" s="214">
        <v>142</v>
      </c>
      <c r="C21" s="256">
        <f>+B21/$B$23</f>
        <v>0.0012007441231185524</v>
      </c>
      <c r="D21" s="80" t="s">
        <v>799</v>
      </c>
      <c r="E21" s="80" t="s">
        <v>799</v>
      </c>
      <c r="F21" s="80" t="s">
        <v>799</v>
      </c>
      <c r="I21" s="36">
        <v>2243</v>
      </c>
      <c r="J21" s="36">
        <f>+I21/$J$10</f>
        <v>1052.1131385149397</v>
      </c>
      <c r="K21" s="36">
        <v>1113</v>
      </c>
      <c r="L21" s="36">
        <f>+K21/$L$10</f>
        <v>527.0135896586013</v>
      </c>
    </row>
    <row r="22" spans="1:12" ht="15">
      <c r="A22" s="234"/>
      <c r="B22" s="214"/>
      <c r="C22" s="256"/>
      <c r="D22" s="105"/>
      <c r="E22" s="256"/>
      <c r="F22" s="107"/>
      <c r="I22" s="36"/>
      <c r="J22" s="36"/>
      <c r="K22" s="36"/>
      <c r="L22" s="36"/>
    </row>
    <row r="23" spans="1:12" ht="14.25">
      <c r="A23" s="237" t="s">
        <v>674</v>
      </c>
      <c r="B23" s="238">
        <f>+B11+B15+B17</f>
        <v>118260</v>
      </c>
      <c r="C23" s="239">
        <f>+C11+C15+C17</f>
        <v>1</v>
      </c>
      <c r="D23" s="238">
        <f>+D11+D15+D17</f>
        <v>43700</v>
      </c>
      <c r="E23" s="240">
        <f>+E11+E15+E17</f>
        <v>1</v>
      </c>
      <c r="F23" s="240">
        <f>+(B23/D23)-1</f>
        <v>1.7061784897025172</v>
      </c>
      <c r="I23" s="90">
        <f>+I11+I15+I17</f>
        <v>115351</v>
      </c>
      <c r="J23" s="45">
        <f>+J11+J15+J17</f>
        <v>54107.13448097941</v>
      </c>
      <c r="K23" s="90">
        <f>+K11+K15+K17</f>
        <v>83900</v>
      </c>
      <c r="L23" s="45">
        <f>+L11+L15+L17</f>
        <v>39727.25981343814</v>
      </c>
    </row>
    <row r="25" spans="1:3" ht="12.75">
      <c r="A25" s="71" t="s">
        <v>618</v>
      </c>
      <c r="C25" s="127"/>
    </row>
    <row r="26" spans="1:6" ht="12.75">
      <c r="A26" s="521" t="s">
        <v>603</v>
      </c>
      <c r="B26" s="521"/>
      <c r="C26" s="521"/>
      <c r="D26" s="521"/>
      <c r="E26" s="521"/>
      <c r="F26" s="521"/>
    </row>
    <row r="29" spans="1:2" ht="12.75">
      <c r="A29" t="s">
        <v>1085</v>
      </c>
      <c r="B29" s="127">
        <f>+C11</f>
        <v>0.5994588195501437</v>
      </c>
    </row>
    <row r="30" spans="1:2" ht="12.75">
      <c r="A30" t="s">
        <v>1086</v>
      </c>
      <c r="B30" s="127">
        <f>+C15</f>
        <v>0.02147809910366988</v>
      </c>
    </row>
    <row r="31" spans="1:2" ht="12.75">
      <c r="A31" t="s">
        <v>1087</v>
      </c>
      <c r="B31" s="127">
        <f>+C17</f>
        <v>0.3790630813461864</v>
      </c>
    </row>
    <row r="32" ht="12.75">
      <c r="B32" s="127"/>
    </row>
  </sheetData>
  <mergeCells count="4">
    <mergeCell ref="A4:F4"/>
    <mergeCell ref="A5:F5"/>
    <mergeCell ref="A6:F6"/>
    <mergeCell ref="A26:F26"/>
  </mergeCells>
  <printOptions horizontalCentered="1"/>
  <pageMargins left="0.75" right="0.75" top="1" bottom="1" header="0" footer="0"/>
  <pageSetup horizontalDpi="300" verticalDpi="300" orientation="portrait" scale="90" r:id="rId2"/>
  <headerFooter alignWithMargins="0">
    <oddFooter>&amp;C64</oddFooter>
  </headerFooter>
  <drawing r:id="rId1"/>
</worksheet>
</file>

<file path=xl/worksheets/sheet51.xml><?xml version="1.0" encoding="utf-8"?>
<worksheet xmlns="http://schemas.openxmlformats.org/spreadsheetml/2006/main" xmlns:r="http://schemas.openxmlformats.org/officeDocument/2006/relationships">
  <dimension ref="A1:L38"/>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10" max="10" width="12.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685</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10" ht="15">
      <c r="A9" s="5"/>
      <c r="B9" s="231" t="s">
        <v>1083</v>
      </c>
      <c r="C9" s="2"/>
      <c r="D9" s="231" t="s">
        <v>1083</v>
      </c>
      <c r="E9" s="2"/>
      <c r="F9" s="232"/>
      <c r="I9" t="s">
        <v>1130</v>
      </c>
      <c r="J9" t="s">
        <v>1131</v>
      </c>
    </row>
    <row r="10" spans="1:10" ht="15">
      <c r="A10" s="5"/>
      <c r="B10" s="233" t="s">
        <v>979</v>
      </c>
      <c r="C10" s="233" t="s">
        <v>665</v>
      </c>
      <c r="D10" s="233" t="s">
        <v>921</v>
      </c>
      <c r="E10" s="233" t="s">
        <v>665</v>
      </c>
      <c r="F10" s="233" t="s">
        <v>883</v>
      </c>
      <c r="I10" t="s">
        <v>1148</v>
      </c>
      <c r="J10">
        <v>2141.3276</v>
      </c>
    </row>
    <row r="11" spans="1:12" ht="14.25">
      <c r="A11" s="2" t="s">
        <v>532</v>
      </c>
      <c r="B11" s="155">
        <f>SUM(B12:B18)</f>
        <v>5073673</v>
      </c>
      <c r="C11" s="156">
        <f>SUM(C12:C17)</f>
        <v>0.9272146260081641</v>
      </c>
      <c r="D11" s="155">
        <f>SUM(D12:D17)</f>
        <v>4608737.3502562</v>
      </c>
      <c r="E11" s="156">
        <f>SUM(E12:E17)</f>
        <v>0.9291152892089893</v>
      </c>
      <c r="F11" s="156">
        <f>+(B11/D11)-1</f>
        <v>0.10088135087974903</v>
      </c>
      <c r="I11" s="90">
        <f>SUM(I12:I13)</f>
        <v>3055521</v>
      </c>
      <c r="J11" s="36">
        <f>+I11/$J$10</f>
        <v>1426.9283224108258</v>
      </c>
      <c r="K11" s="36"/>
      <c r="L11" s="36"/>
    </row>
    <row r="12" spans="1:12" ht="15">
      <c r="A12" s="234" t="s">
        <v>549</v>
      </c>
      <c r="B12" s="11">
        <v>2702026</v>
      </c>
      <c r="C12" s="256">
        <f aca="true" t="shared" si="0" ref="C12:C17">+B12/$B$28</f>
        <v>0.4937957229514665</v>
      </c>
      <c r="D12" s="105">
        <v>2414293</v>
      </c>
      <c r="E12" s="256">
        <f aca="true" t="shared" si="1" ref="E12:E17">+D12/$D$28</f>
        <v>0.4867182415603573</v>
      </c>
      <c r="F12" s="107">
        <f aca="true" t="shared" si="2" ref="F12:F17">+(B12-D12)/D12</f>
        <v>0.11917898945985429</v>
      </c>
      <c r="I12" s="36">
        <v>1736157</v>
      </c>
      <c r="J12" s="36">
        <f aca="true" t="shared" si="3" ref="J12:J26">+I12/$J$10</f>
        <v>810.7853277564815</v>
      </c>
      <c r="K12" s="36"/>
      <c r="L12" s="36"/>
    </row>
    <row r="13" spans="1:12" ht="15">
      <c r="A13" s="234" t="s">
        <v>550</v>
      </c>
      <c r="B13" s="11">
        <v>961997</v>
      </c>
      <c r="C13" s="256">
        <f t="shared" si="0"/>
        <v>0.17580511959993794</v>
      </c>
      <c r="D13" s="105">
        <v>1019424</v>
      </c>
      <c r="E13" s="256">
        <f t="shared" si="1"/>
        <v>0.2055145157130579</v>
      </c>
      <c r="F13" s="107">
        <f t="shared" si="2"/>
        <v>-0.056332791851084536</v>
      </c>
      <c r="I13" s="36">
        <v>1319364</v>
      </c>
      <c r="J13" s="36">
        <f t="shared" si="3"/>
        <v>616.1429946543443</v>
      </c>
      <c r="K13" s="36"/>
      <c r="L13" s="36"/>
    </row>
    <row r="14" spans="1:12" ht="22.5">
      <c r="A14" s="236" t="s">
        <v>551</v>
      </c>
      <c r="B14" s="11">
        <v>908266</v>
      </c>
      <c r="C14" s="256">
        <f t="shared" si="0"/>
        <v>0.16598576997491388</v>
      </c>
      <c r="D14" s="105">
        <v>738525.9997032097</v>
      </c>
      <c r="E14" s="256">
        <f t="shared" si="1"/>
        <v>0.1488858543358868</v>
      </c>
      <c r="F14" s="107">
        <f t="shared" si="2"/>
        <v>0.2298361877103899</v>
      </c>
      <c r="I14" s="36">
        <v>976076</v>
      </c>
      <c r="J14" s="36">
        <f t="shared" si="3"/>
        <v>455.827496922937</v>
      </c>
      <c r="K14" s="36"/>
      <c r="L14" s="36"/>
    </row>
    <row r="15" spans="1:12" s="151" customFormat="1" ht="15">
      <c r="A15" s="261" t="s">
        <v>544</v>
      </c>
      <c r="B15" s="31">
        <v>296895</v>
      </c>
      <c r="C15" s="256">
        <f t="shared" si="0"/>
        <v>0.054257613052456063</v>
      </c>
      <c r="D15" s="31">
        <v>255698.3737637375</v>
      </c>
      <c r="E15" s="256">
        <f t="shared" si="1"/>
        <v>0.05154845035301404</v>
      </c>
      <c r="F15" s="107">
        <f t="shared" si="2"/>
        <v>0.16111415035563634</v>
      </c>
      <c r="I15" s="190"/>
      <c r="J15" s="190"/>
      <c r="K15" s="190"/>
      <c r="L15" s="190"/>
    </row>
    <row r="16" spans="1:12" ht="15">
      <c r="A16" s="3" t="s">
        <v>552</v>
      </c>
      <c r="B16" s="11">
        <v>193915</v>
      </c>
      <c r="C16" s="256">
        <f t="shared" si="0"/>
        <v>0.03543800008443058</v>
      </c>
      <c r="D16" s="31">
        <v>164895</v>
      </c>
      <c r="E16" s="256">
        <f t="shared" si="1"/>
        <v>0.033242611581152375</v>
      </c>
      <c r="F16" s="107">
        <f t="shared" si="2"/>
        <v>0.17599078201279603</v>
      </c>
      <c r="I16" s="36"/>
      <c r="J16" s="36"/>
      <c r="K16" s="36"/>
      <c r="L16" s="36"/>
    </row>
    <row r="17" spans="1:12" ht="15">
      <c r="A17" s="3" t="s">
        <v>553</v>
      </c>
      <c r="B17" s="31">
        <v>10574</v>
      </c>
      <c r="C17" s="256">
        <f t="shared" si="0"/>
        <v>0.0019324003449592293</v>
      </c>
      <c r="D17" s="31">
        <v>15900.9767892527</v>
      </c>
      <c r="E17" s="256">
        <f t="shared" si="1"/>
        <v>0.003205615665520767</v>
      </c>
      <c r="F17" s="107">
        <f t="shared" si="2"/>
        <v>-0.33500940601668866</v>
      </c>
      <c r="I17" s="36">
        <v>832590</v>
      </c>
      <c r="J17" s="36">
        <f>+I17/$J$10</f>
        <v>388.81953419925094</v>
      </c>
      <c r="K17" s="36"/>
      <c r="L17" s="36"/>
    </row>
    <row r="18" spans="1:12" ht="15">
      <c r="A18" s="3"/>
      <c r="B18" s="31"/>
      <c r="C18" s="256"/>
      <c r="D18" s="31"/>
      <c r="E18" s="256"/>
      <c r="F18" s="107"/>
      <c r="I18" s="36"/>
      <c r="J18" s="36"/>
      <c r="K18" s="36"/>
      <c r="L18" s="36"/>
    </row>
    <row r="19" spans="1:12" ht="14.25">
      <c r="A19" s="96" t="s">
        <v>1124</v>
      </c>
      <c r="B19" s="260">
        <f>SUM(B20:B23)</f>
        <v>351870</v>
      </c>
      <c r="C19" s="257">
        <f>+B19/$B$28</f>
        <v>0.06430430389453415</v>
      </c>
      <c r="D19" s="260">
        <f>SUM(D20:D23)</f>
        <v>285615</v>
      </c>
      <c r="E19" s="257">
        <f>+D19/$D$28</f>
        <v>0.05757960221201878</v>
      </c>
      <c r="F19" s="259">
        <f>+(B19/D19)-1</f>
        <v>0.23197311065595305</v>
      </c>
      <c r="I19" s="90">
        <f>SUM(I21:I23)</f>
        <v>1665180</v>
      </c>
      <c r="J19" s="36">
        <f t="shared" si="3"/>
        <v>777.6390683985019</v>
      </c>
      <c r="K19" s="36"/>
      <c r="L19" s="36"/>
    </row>
    <row r="20" spans="1:12" ht="22.5">
      <c r="A20" s="236" t="s">
        <v>551</v>
      </c>
      <c r="B20" s="11">
        <v>160322</v>
      </c>
      <c r="C20" s="256">
        <f>+B20/$B$28</f>
        <v>0.029298873473099448</v>
      </c>
      <c r="D20" s="105">
        <v>149052</v>
      </c>
      <c r="E20" s="256">
        <f>+D20/$D$28</f>
        <v>0.03004868395884608</v>
      </c>
      <c r="F20" s="107">
        <f>+(B20-D20)/D20</f>
        <v>0.0756111960926388</v>
      </c>
      <c r="I20" s="36">
        <v>976076</v>
      </c>
      <c r="J20" s="36">
        <f t="shared" si="3"/>
        <v>455.827496922937</v>
      </c>
      <c r="K20" s="36"/>
      <c r="L20" s="36"/>
    </row>
    <row r="21" spans="1:12" ht="15">
      <c r="A21" s="236" t="s">
        <v>554</v>
      </c>
      <c r="B21" s="214">
        <v>135995</v>
      </c>
      <c r="C21" s="262">
        <f>+B21/$B$28</f>
        <v>0.024853109978506753</v>
      </c>
      <c r="D21" s="214">
        <v>96486</v>
      </c>
      <c r="E21" s="256">
        <f>+D21/$D$28</f>
        <v>0.01945144862499814</v>
      </c>
      <c r="F21" s="107">
        <f>+(B21-D21)/D21</f>
        <v>0.409479095412806</v>
      </c>
      <c r="I21" s="36">
        <v>832590</v>
      </c>
      <c r="J21" s="36">
        <f t="shared" si="3"/>
        <v>388.81953419925094</v>
      </c>
      <c r="K21" s="36"/>
      <c r="L21" s="36"/>
    </row>
    <row r="22" spans="1:12" ht="15">
      <c r="A22" s="3" t="s">
        <v>552</v>
      </c>
      <c r="B22" s="11">
        <v>54952</v>
      </c>
      <c r="C22" s="256">
        <f>+B22/$B$28</f>
        <v>0.010042487588065025</v>
      </c>
      <c r="D22" s="31">
        <v>39268</v>
      </c>
      <c r="E22" s="256">
        <f>+D22/$D$28</f>
        <v>0.007916376309583016</v>
      </c>
      <c r="F22" s="107">
        <f>+(B22-D22)/D22</f>
        <v>0.39940918814301724</v>
      </c>
      <c r="I22" s="36"/>
      <c r="J22" s="36"/>
      <c r="K22" s="36"/>
      <c r="L22" s="36"/>
    </row>
    <row r="23" spans="1:12" ht="15">
      <c r="A23" s="3" t="s">
        <v>553</v>
      </c>
      <c r="B23" s="31">
        <v>601</v>
      </c>
      <c r="C23" s="256">
        <f>+B23/$B$28</f>
        <v>0.00010983285486291818</v>
      </c>
      <c r="D23" s="31">
        <v>809</v>
      </c>
      <c r="E23" s="256">
        <f>+D23/$D$28</f>
        <v>0.00016309331859154172</v>
      </c>
      <c r="F23" s="107">
        <f>+(B23-D23)/D23</f>
        <v>-0.25710754017305315</v>
      </c>
      <c r="I23" s="36">
        <v>832590</v>
      </c>
      <c r="J23" s="36">
        <f>+I23/$J$10</f>
        <v>388.81953419925094</v>
      </c>
      <c r="K23" s="36"/>
      <c r="L23" s="36"/>
    </row>
    <row r="24" spans="1:12" ht="15">
      <c r="A24" s="234"/>
      <c r="B24" s="11"/>
      <c r="C24" s="256"/>
      <c r="D24" s="31"/>
      <c r="E24" s="256"/>
      <c r="F24" s="107"/>
      <c r="I24" s="36"/>
      <c r="J24" s="36"/>
      <c r="K24" s="36"/>
      <c r="L24" s="36"/>
    </row>
    <row r="25" spans="1:12" ht="14.25">
      <c r="A25" s="2" t="s">
        <v>545</v>
      </c>
      <c r="B25" s="260">
        <v>65714</v>
      </c>
      <c r="C25" s="259">
        <f>+B25/B28</f>
        <v>0.012009244965826631</v>
      </c>
      <c r="D25" s="260">
        <v>51481</v>
      </c>
      <c r="E25" s="257">
        <f>+D25/$D$28</f>
        <v>0.010378500784191792</v>
      </c>
      <c r="F25" s="259">
        <f>+(B25/D25)-1</f>
        <v>0.27647093102309594</v>
      </c>
      <c r="I25" s="90" t="e">
        <f>SUM(I15:I29)</f>
        <v>#REF!</v>
      </c>
      <c r="J25" s="36" t="e">
        <f t="shared" si="3"/>
        <v>#REF!</v>
      </c>
      <c r="K25" s="36"/>
      <c r="L25" s="36"/>
    </row>
    <row r="26" spans="1:12" ht="14.25">
      <c r="A26" s="2" t="s">
        <v>546</v>
      </c>
      <c r="B26" s="260">
        <v>-19306</v>
      </c>
      <c r="C26" s="259">
        <f>+B26/B28</f>
        <v>-0.0035281748685249558</v>
      </c>
      <c r="D26" s="260">
        <v>14517</v>
      </c>
      <c r="E26" s="257">
        <f>+D26/$D$28</f>
        <v>0.002926607794800261</v>
      </c>
      <c r="F26" s="259">
        <f>+(B26/D26)-1</f>
        <v>-2.329889095543156</v>
      </c>
      <c r="I26" s="90" t="e">
        <f>SUM(I16:I30)</f>
        <v>#REF!</v>
      </c>
      <c r="J26" s="36" t="e">
        <f t="shared" si="3"/>
        <v>#REF!</v>
      </c>
      <c r="K26" s="36"/>
      <c r="L26" s="36"/>
    </row>
    <row r="27" spans="1:12" ht="12.75">
      <c r="A27" t="s">
        <v>686</v>
      </c>
      <c r="B27" s="36"/>
      <c r="D27" s="36"/>
      <c r="I27" s="36"/>
      <c r="J27" s="36"/>
      <c r="K27" s="36"/>
      <c r="L27" s="36"/>
    </row>
    <row r="28" spans="1:12" ht="14.25">
      <c r="A28" s="237" t="s">
        <v>674</v>
      </c>
      <c r="B28" s="238">
        <f>+B11+B19+B25+B26</f>
        <v>5471951</v>
      </c>
      <c r="C28" s="240">
        <f>+C11+C19+C25+C26</f>
        <v>0.9999999999999998</v>
      </c>
      <c r="D28" s="238">
        <f>+D11+D19+D25+D26</f>
        <v>4960350.3502562</v>
      </c>
      <c r="E28" s="240">
        <f>+E11+E19+E25+E26</f>
        <v>1.0000000000000002</v>
      </c>
      <c r="F28" s="240">
        <f>+(B28/D28)-1</f>
        <v>0.10313800712027854</v>
      </c>
      <c r="I28" s="90" t="e">
        <f>+I11+#REF!+I19+#REF!+#REF!+#REF!</f>
        <v>#REF!</v>
      </c>
      <c r="J28" s="45" t="e">
        <f>+J11+#REF!+J19+#REF!+#REF!+#REF!</f>
        <v>#REF!</v>
      </c>
      <c r="K28" s="36"/>
      <c r="L28" s="36"/>
    </row>
    <row r="30" spans="1:4" ht="12.75">
      <c r="A30" s="71" t="s">
        <v>555</v>
      </c>
      <c r="C30" s="127"/>
      <c r="D30" s="36"/>
    </row>
    <row r="31" spans="1:3" ht="12.75">
      <c r="A31" s="72" t="s">
        <v>533</v>
      </c>
      <c r="C31" s="127"/>
    </row>
    <row r="32" ht="12.75">
      <c r="B32" s="36"/>
    </row>
    <row r="34" spans="1:2" ht="12.75">
      <c r="A34" t="s">
        <v>532</v>
      </c>
      <c r="B34" s="127">
        <f>C11</f>
        <v>0.9272146260081641</v>
      </c>
    </row>
    <row r="35" spans="1:2" ht="12.75">
      <c r="A35" t="s">
        <v>1124</v>
      </c>
      <c r="B35" s="127">
        <f>+C19</f>
        <v>0.06430430389453415</v>
      </c>
    </row>
    <row r="36" spans="1:2" ht="12.75">
      <c r="A36" t="s">
        <v>547</v>
      </c>
      <c r="B36" s="127">
        <f>+C25</f>
        <v>0.012009244965826631</v>
      </c>
    </row>
    <row r="37" spans="1:2" ht="12.75">
      <c r="A37" t="s">
        <v>548</v>
      </c>
      <c r="B37" s="127">
        <f>+C26</f>
        <v>-0.0035281748685249558</v>
      </c>
    </row>
    <row r="38" ht="12.75">
      <c r="B38" s="127"/>
    </row>
  </sheetData>
  <mergeCells count="3">
    <mergeCell ref="A4:F4"/>
    <mergeCell ref="A5:F5"/>
    <mergeCell ref="A6:F6"/>
  </mergeCells>
  <printOptions/>
  <pageMargins left="0.75" right="0.75" top="1" bottom="1" header="0" footer="0"/>
  <pageSetup horizontalDpi="300" verticalDpi="300" orientation="portrait" r:id="rId2"/>
  <headerFooter alignWithMargins="0">
    <oddFooter>&amp;C65</oddFooter>
  </headerFooter>
  <drawing r:id="rId1"/>
</worksheet>
</file>

<file path=xl/worksheets/sheet52.xml><?xml version="1.0" encoding="utf-8"?>
<worksheet xmlns="http://schemas.openxmlformats.org/spreadsheetml/2006/main" xmlns:r="http://schemas.openxmlformats.org/officeDocument/2006/relationships">
  <dimension ref="A1:F44"/>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717</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979</v>
      </c>
      <c r="C10" s="233" t="s">
        <v>665</v>
      </c>
      <c r="D10" s="233" t="s">
        <v>921</v>
      </c>
      <c r="E10" s="233" t="s">
        <v>665</v>
      </c>
      <c r="F10" s="233" t="s">
        <v>883</v>
      </c>
    </row>
    <row r="11" spans="1:6" ht="15">
      <c r="A11" s="2" t="s">
        <v>1090</v>
      </c>
      <c r="B11" s="155">
        <f>SUM(B12:B14)</f>
        <v>10649710</v>
      </c>
      <c r="C11" s="156">
        <f aca="true" t="shared" si="0" ref="C11:C30">+(B11/$B$33)</f>
        <v>0.2998628477271889</v>
      </c>
      <c r="D11" s="155">
        <f>SUM(D12:D14)</f>
        <v>11649930</v>
      </c>
      <c r="E11" s="156">
        <f aca="true" t="shared" si="1" ref="E11:E30">+(D11/$D$33)</f>
        <v>0.35018341906115413</v>
      </c>
      <c r="F11" s="156">
        <f aca="true" t="shared" si="2" ref="F11:F23">+(B11/D11)-1</f>
        <v>-0.08585630986623949</v>
      </c>
    </row>
    <row r="12" spans="1:6" ht="22.5">
      <c r="A12" s="236" t="s">
        <v>556</v>
      </c>
      <c r="B12" s="105">
        <f>8661.39*1000</f>
        <v>8661390</v>
      </c>
      <c r="C12" s="235">
        <f t="shared" si="0"/>
        <v>0.2438779150489353</v>
      </c>
      <c r="D12" s="105">
        <f>9970.58*1000</f>
        <v>9970580</v>
      </c>
      <c r="E12" s="235">
        <f t="shared" si="1"/>
        <v>0.29970410074762355</v>
      </c>
      <c r="F12" s="235">
        <f t="shared" si="2"/>
        <v>-0.13130530019316833</v>
      </c>
    </row>
    <row r="13" spans="1:6" ht="15">
      <c r="A13" s="234" t="s">
        <v>557</v>
      </c>
      <c r="B13" s="105">
        <v>0</v>
      </c>
      <c r="C13" s="235">
        <f t="shared" si="0"/>
        <v>0</v>
      </c>
      <c r="D13" s="105">
        <f>0.05*1000</f>
        <v>50</v>
      </c>
      <c r="E13" s="235">
        <f t="shared" si="1"/>
        <v>1.5029421595715774E-06</v>
      </c>
      <c r="F13" s="235">
        <f t="shared" si="2"/>
        <v>-1</v>
      </c>
    </row>
    <row r="14" spans="1:6" ht="15">
      <c r="A14" s="234" t="s">
        <v>558</v>
      </c>
      <c r="B14" s="105">
        <f>1988.32*1000</f>
        <v>1988320</v>
      </c>
      <c r="C14" s="235">
        <f t="shared" si="0"/>
        <v>0.05598493267825361</v>
      </c>
      <c r="D14" s="105">
        <f>1679.3*1000</f>
        <v>1679300</v>
      </c>
      <c r="E14" s="235">
        <f t="shared" si="1"/>
        <v>0.050477815371371</v>
      </c>
      <c r="F14" s="235">
        <f t="shared" si="2"/>
        <v>0.18401715000297747</v>
      </c>
    </row>
    <row r="15" spans="1:6" ht="15">
      <c r="A15" s="2" t="s">
        <v>1094</v>
      </c>
      <c r="B15" s="155">
        <f>SUM(B16:B18)</f>
        <v>6548890</v>
      </c>
      <c r="C15" s="156">
        <f t="shared" si="0"/>
        <v>0.18439645819952938</v>
      </c>
      <c r="D15" s="155">
        <f>SUM(D16:D18)</f>
        <v>6151890</v>
      </c>
      <c r="E15" s="156">
        <f t="shared" si="1"/>
        <v>0.18491869684093581</v>
      </c>
      <c r="F15" s="156">
        <f t="shared" si="2"/>
        <v>0.06453301343164464</v>
      </c>
    </row>
    <row r="16" spans="1:6" ht="15">
      <c r="A16" s="234" t="s">
        <v>559</v>
      </c>
      <c r="B16" s="105">
        <f>3209.84*1000</f>
        <v>3209840</v>
      </c>
      <c r="C16" s="235">
        <f t="shared" si="0"/>
        <v>0.09037915240402226</v>
      </c>
      <c r="D16" s="105">
        <f>3309.58*1000</f>
        <v>3309580</v>
      </c>
      <c r="E16" s="235">
        <f t="shared" si="1"/>
        <v>0.09948214624949801</v>
      </c>
      <c r="F16" s="235">
        <f t="shared" si="2"/>
        <v>-0.030136754512657182</v>
      </c>
    </row>
    <row r="17" spans="1:6" ht="15">
      <c r="A17" s="234" t="s">
        <v>560</v>
      </c>
      <c r="B17" s="105">
        <f>2543.87*1000</f>
        <v>2543870</v>
      </c>
      <c r="C17" s="235">
        <f t="shared" si="0"/>
        <v>0.07162749994579796</v>
      </c>
      <c r="D17" s="105">
        <f>2049.16*1000</f>
        <v>2049159.9999999998</v>
      </c>
      <c r="E17" s="235">
        <f t="shared" si="1"/>
        <v>0.06159537911415386</v>
      </c>
      <c r="F17" s="235">
        <f t="shared" si="2"/>
        <v>0.24142087489507902</v>
      </c>
    </row>
    <row r="18" spans="1:6" ht="15">
      <c r="A18" s="234" t="s">
        <v>561</v>
      </c>
      <c r="B18" s="105">
        <f>795.18*1000</f>
        <v>795180</v>
      </c>
      <c r="C18" s="235">
        <f t="shared" si="0"/>
        <v>0.022389805849709152</v>
      </c>
      <c r="D18" s="105">
        <f>793.15*1000</f>
        <v>793150</v>
      </c>
      <c r="E18" s="235">
        <f t="shared" si="1"/>
        <v>0.023841171477283932</v>
      </c>
      <c r="F18" s="235">
        <f t="shared" si="2"/>
        <v>0.00255941499085921</v>
      </c>
    </row>
    <row r="19" spans="1:6" ht="15">
      <c r="A19" s="2" t="s">
        <v>1099</v>
      </c>
      <c r="B19" s="155">
        <f>SUM(B20:B24)</f>
        <v>12446260</v>
      </c>
      <c r="C19" s="156">
        <f t="shared" si="0"/>
        <v>0.3504481311841357</v>
      </c>
      <c r="D19" s="155">
        <f>SUM(D20:D24)</f>
        <v>11005010</v>
      </c>
      <c r="E19" s="156">
        <f t="shared" si="1"/>
        <v>0.3307978699101361</v>
      </c>
      <c r="F19" s="156">
        <f t="shared" si="2"/>
        <v>0.13096307954286268</v>
      </c>
    </row>
    <row r="20" spans="1:6" ht="15">
      <c r="A20" s="234" t="s">
        <v>562</v>
      </c>
      <c r="B20" s="105">
        <f>3956.34*1000</f>
        <v>3956340</v>
      </c>
      <c r="C20" s="235">
        <f t="shared" si="0"/>
        <v>0.1113982802326999</v>
      </c>
      <c r="D20" s="105">
        <f>4295.45*1000</f>
        <v>4295450</v>
      </c>
      <c r="E20" s="235">
        <f t="shared" si="1"/>
        <v>0.12911625798663465</v>
      </c>
      <c r="F20" s="235">
        <f t="shared" si="2"/>
        <v>-0.07894632692733006</v>
      </c>
    </row>
    <row r="21" spans="1:6" ht="15">
      <c r="A21" s="234" t="s">
        <v>563</v>
      </c>
      <c r="B21" s="105">
        <f>7545.24*1000</f>
        <v>7545240</v>
      </c>
      <c r="C21" s="235">
        <f t="shared" si="0"/>
        <v>0.21245058815546103</v>
      </c>
      <c r="D21" s="105">
        <f>5834.97*1000</f>
        <v>5834970</v>
      </c>
      <c r="E21" s="235">
        <f t="shared" si="1"/>
        <v>0.17539244825670733</v>
      </c>
      <c r="F21" s="235">
        <f t="shared" si="2"/>
        <v>0.293106905433961</v>
      </c>
    </row>
    <row r="22" spans="1:6" ht="15">
      <c r="A22" s="234" t="s">
        <v>564</v>
      </c>
      <c r="B22" s="105">
        <f>653.41*1000</f>
        <v>653410</v>
      </c>
      <c r="C22" s="235">
        <f t="shared" si="0"/>
        <v>0.018398001760932692</v>
      </c>
      <c r="D22" s="105">
        <f>681.87*1000</f>
        <v>681870</v>
      </c>
      <c r="E22" s="235">
        <f t="shared" si="1"/>
        <v>0.02049622340694143</v>
      </c>
      <c r="F22" s="235">
        <f t="shared" si="2"/>
        <v>-0.04173816123307961</v>
      </c>
    </row>
    <row r="23" spans="1:6" ht="22.5">
      <c r="A23" s="236" t="s">
        <v>565</v>
      </c>
      <c r="B23" s="105">
        <f>302.94*1000</f>
        <v>302940</v>
      </c>
      <c r="C23" s="235">
        <f t="shared" si="0"/>
        <v>0.008529852088974686</v>
      </c>
      <c r="D23" s="105">
        <f>216.49*1000</f>
        <v>216490</v>
      </c>
      <c r="E23" s="235">
        <f t="shared" si="1"/>
        <v>0.006507438962513015</v>
      </c>
      <c r="F23" s="235">
        <f t="shared" si="2"/>
        <v>0.3993256039539932</v>
      </c>
    </row>
    <row r="24" spans="1:6" ht="15">
      <c r="A24" s="263" t="s">
        <v>1137</v>
      </c>
      <c r="B24" s="105">
        <f>-11.67*1000</f>
        <v>-11670</v>
      </c>
      <c r="C24" s="235">
        <f t="shared" si="0"/>
        <v>-0.00032859105393257606</v>
      </c>
      <c r="D24" s="105">
        <f>-23.77*1000</f>
        <v>-23770</v>
      </c>
      <c r="E24" s="235">
        <f t="shared" si="1"/>
        <v>-0.0007144987026603279</v>
      </c>
      <c r="F24" s="235">
        <f>(+(B24/D24)-1)*-1</f>
        <v>0.5090450147244425</v>
      </c>
    </row>
    <row r="25" spans="1:6" ht="15">
      <c r="A25" s="2" t="s">
        <v>1107</v>
      </c>
      <c r="B25" s="155">
        <f>SUM(B26:B30)</f>
        <v>5829810</v>
      </c>
      <c r="C25" s="156">
        <f t="shared" si="0"/>
        <v>0.1641493926415314</v>
      </c>
      <c r="D25" s="155">
        <f>SUM(D26:D30)</f>
        <v>4442520</v>
      </c>
      <c r="E25" s="156">
        <f t="shared" si="1"/>
        <v>0.13353701205479848</v>
      </c>
      <c r="F25" s="156">
        <f aca="true" t="shared" si="3" ref="F25:F33">+(B25/D25)-1</f>
        <v>0.31227546527646477</v>
      </c>
    </row>
    <row r="26" spans="1:6" ht="22.5">
      <c r="A26" s="236" t="s">
        <v>566</v>
      </c>
      <c r="B26" s="105">
        <f>4222.51*1000</f>
        <v>4222510</v>
      </c>
      <c r="C26" s="235">
        <f t="shared" si="0"/>
        <v>0.1188928030112118</v>
      </c>
      <c r="D26" s="105">
        <f>2876.88*1000</f>
        <v>2876880</v>
      </c>
      <c r="E26" s="235">
        <f t="shared" si="1"/>
        <v>0.08647568480056558</v>
      </c>
      <c r="F26" s="235">
        <f t="shared" si="3"/>
        <v>0.46773935652512444</v>
      </c>
    </row>
    <row r="27" spans="1:6" ht="22.5">
      <c r="A27" s="236" t="s">
        <v>567</v>
      </c>
      <c r="B27" s="105">
        <f>82.37*1000</f>
        <v>82370</v>
      </c>
      <c r="C27" s="235">
        <f t="shared" si="0"/>
        <v>0.0023192840713304446</v>
      </c>
      <c r="D27" s="105">
        <f>74.54*1000</f>
        <v>74540</v>
      </c>
      <c r="E27" s="235">
        <f t="shared" si="1"/>
        <v>0.0022405861714893073</v>
      </c>
      <c r="F27" s="235">
        <f t="shared" si="3"/>
        <v>0.10504427153206342</v>
      </c>
    </row>
    <row r="28" spans="1:6" ht="15">
      <c r="A28" s="234" t="s">
        <v>568</v>
      </c>
      <c r="B28" s="105">
        <f>1426.46*1000</f>
        <v>1426460</v>
      </c>
      <c r="C28" s="235">
        <f t="shared" si="0"/>
        <v>0.040164695354983924</v>
      </c>
      <c r="D28" s="105">
        <f>1452.63*1000</f>
        <v>1452630</v>
      </c>
      <c r="E28" s="235">
        <f t="shared" si="1"/>
        <v>0.043664377385169206</v>
      </c>
      <c r="F28" s="235">
        <f t="shared" si="3"/>
        <v>-0.018015599292318107</v>
      </c>
    </row>
    <row r="29" spans="1:6" ht="15">
      <c r="A29" s="263" t="s">
        <v>1137</v>
      </c>
      <c r="B29" s="105">
        <v>0</v>
      </c>
      <c r="C29" s="235">
        <f t="shared" si="0"/>
        <v>0</v>
      </c>
      <c r="D29" s="105">
        <f>0.07*1000</f>
        <v>70</v>
      </c>
      <c r="E29" s="235">
        <f t="shared" si="1"/>
        <v>2.1041190234002082E-06</v>
      </c>
      <c r="F29" s="235">
        <f t="shared" si="3"/>
        <v>-1</v>
      </c>
    </row>
    <row r="30" spans="1:6" ht="15">
      <c r="A30" s="234" t="s">
        <v>569</v>
      </c>
      <c r="B30" s="105">
        <f>98.47*1000</f>
        <v>98470</v>
      </c>
      <c r="C30" s="235">
        <f t="shared" si="0"/>
        <v>0.002772610204005207</v>
      </c>
      <c r="D30" s="105">
        <f>38.4*1000</f>
        <v>38400</v>
      </c>
      <c r="E30" s="235">
        <f t="shared" si="1"/>
        <v>0.0011542595785509714</v>
      </c>
      <c r="F30" s="235">
        <f t="shared" si="3"/>
        <v>1.5643229166666668</v>
      </c>
    </row>
    <row r="31" spans="1:6" ht="15">
      <c r="A31" s="2" t="s">
        <v>1110</v>
      </c>
      <c r="B31" s="155">
        <f>+B11+B15+B19+B25</f>
        <v>35474670</v>
      </c>
      <c r="C31" s="156">
        <f>+C11+C15+C19+C25</f>
        <v>0.9988568297523854</v>
      </c>
      <c r="D31" s="155">
        <f>D25+D19+D15+D11</f>
        <v>33249350</v>
      </c>
      <c r="E31" s="156">
        <f>+E11+E15+E19+E25</f>
        <v>0.9994369978670246</v>
      </c>
      <c r="F31" s="156">
        <f t="shared" si="3"/>
        <v>0.0669282256645618</v>
      </c>
    </row>
    <row r="32" spans="1:6" ht="15">
      <c r="A32" s="2" t="s">
        <v>1111</v>
      </c>
      <c r="B32" s="155">
        <f>40.6*1000</f>
        <v>40600</v>
      </c>
      <c r="C32" s="156">
        <f>+(B32/$B$33)</f>
        <v>0.0011431702476146176</v>
      </c>
      <c r="D32" s="155">
        <f>18.73*1000</f>
        <v>18730</v>
      </c>
      <c r="E32" s="156">
        <f>+(D32/$D$33)</f>
        <v>0.0005630021329755128</v>
      </c>
      <c r="F32" s="156">
        <f t="shared" si="3"/>
        <v>1.1676454885210892</v>
      </c>
    </row>
    <row r="33" spans="1:6" ht="14.25">
      <c r="A33" s="237" t="s">
        <v>674</v>
      </c>
      <c r="B33" s="238">
        <f>SUM(B31:B32)</f>
        <v>35515270</v>
      </c>
      <c r="C33" s="239">
        <f>SUM(C31:C32)</f>
        <v>1</v>
      </c>
      <c r="D33" s="238">
        <f>SUM(D31:D32)</f>
        <v>33268080</v>
      </c>
      <c r="E33" s="240">
        <f>SUM(E31:E32)</f>
        <v>1</v>
      </c>
      <c r="F33" s="240">
        <f t="shared" si="3"/>
        <v>0.06754793183135299</v>
      </c>
    </row>
    <row r="34" spans="1:6" ht="8.25" customHeight="1">
      <c r="A34" s="5"/>
      <c r="B34" s="5"/>
      <c r="C34" s="5"/>
      <c r="D34" s="264"/>
      <c r="E34" s="5"/>
      <c r="F34" s="5"/>
    </row>
    <row r="35" spans="1:6" ht="12.75">
      <c r="A35" s="71" t="s">
        <v>792</v>
      </c>
      <c r="B35" s="47"/>
      <c r="C35" s="47"/>
      <c r="D35" s="265"/>
      <c r="E35" s="47"/>
      <c r="F35" s="47"/>
    </row>
    <row r="36" spans="1:6" ht="49.5" customHeight="1">
      <c r="A36" s="520" t="s">
        <v>1167</v>
      </c>
      <c r="B36" s="555"/>
      <c r="C36" s="555"/>
      <c r="D36" s="555"/>
      <c r="E36" s="555"/>
      <c r="F36" s="555"/>
    </row>
    <row r="37" spans="1:6" ht="6" customHeight="1">
      <c r="A37" s="47"/>
      <c r="B37" s="47"/>
      <c r="C37" s="47"/>
      <c r="D37" s="47"/>
      <c r="E37" s="47"/>
      <c r="F37" s="47"/>
    </row>
    <row r="39" spans="1:2" ht="12.75">
      <c r="A39" t="s">
        <v>1085</v>
      </c>
      <c r="B39" s="127">
        <f>C11</f>
        <v>0.2998628477271889</v>
      </c>
    </row>
    <row r="40" spans="1:2" ht="12.75">
      <c r="A40" t="s">
        <v>1086</v>
      </c>
      <c r="B40" s="127">
        <f>C15</f>
        <v>0.18439645819952938</v>
      </c>
    </row>
    <row r="41" spans="1:2" ht="12.75">
      <c r="A41" t="s">
        <v>1087</v>
      </c>
      <c r="B41" s="127">
        <f>C19</f>
        <v>0.3504481311841357</v>
      </c>
    </row>
    <row r="42" spans="1:2" ht="12.75">
      <c r="A42" t="s">
        <v>1088</v>
      </c>
      <c r="B42" s="127">
        <f>C25</f>
        <v>0.1641493926415314</v>
      </c>
    </row>
    <row r="43" spans="1:2" ht="12.75">
      <c r="A43" t="s">
        <v>1089</v>
      </c>
      <c r="B43" s="127">
        <f>C32</f>
        <v>0.0011431702476146176</v>
      </c>
    </row>
    <row r="44" ht="12.75">
      <c r="B44" s="127"/>
    </row>
  </sheetData>
  <mergeCells count="4">
    <mergeCell ref="A4:F4"/>
    <mergeCell ref="A5:F5"/>
    <mergeCell ref="A6:F6"/>
    <mergeCell ref="A36:F36"/>
  </mergeCells>
  <printOptions horizontalCentered="1"/>
  <pageMargins left="0.75" right="0.75" top="1" bottom="1" header="0" footer="0"/>
  <pageSetup horizontalDpi="300" verticalDpi="300" orientation="portrait" scale="90" r:id="rId2"/>
  <headerFooter alignWithMargins="0">
    <oddFooter>&amp;C66</oddFooter>
  </headerFooter>
  <drawing r:id="rId1"/>
</worksheet>
</file>

<file path=xl/worksheets/sheet53.xml><?xml version="1.0" encoding="utf-8"?>
<worksheet xmlns="http://schemas.openxmlformats.org/spreadsheetml/2006/main" xmlns:r="http://schemas.openxmlformats.org/officeDocument/2006/relationships">
  <dimension ref="A1:F27"/>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692</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48" t="s">
        <v>979</v>
      </c>
      <c r="C10" s="248" t="s">
        <v>665</v>
      </c>
      <c r="D10" s="248" t="s">
        <v>921</v>
      </c>
      <c r="E10" s="233" t="s">
        <v>665</v>
      </c>
      <c r="F10" s="233" t="s">
        <v>933</v>
      </c>
    </row>
    <row r="11" spans="1:6" ht="15">
      <c r="A11" s="2" t="s">
        <v>1090</v>
      </c>
      <c r="B11" s="105">
        <f>10153.014+438.82+208.23</f>
        <v>10800.063999999998</v>
      </c>
      <c r="C11" s="235">
        <f>+B11/$B$18</f>
        <v>0.7928390031018908</v>
      </c>
      <c r="D11" s="105">
        <v>9627</v>
      </c>
      <c r="E11" s="235">
        <f>+D11/$D$18</f>
        <v>0.7168813761262939</v>
      </c>
      <c r="F11" s="235">
        <f>+(B11/D11)-1</f>
        <v>0.12185145943699993</v>
      </c>
    </row>
    <row r="12" spans="1:6" ht="15">
      <c r="A12" s="2" t="s">
        <v>1094</v>
      </c>
      <c r="B12" s="105">
        <v>108</v>
      </c>
      <c r="C12" s="235">
        <f>+B12/$B$18</f>
        <v>0.00792834304824529</v>
      </c>
      <c r="D12" s="105">
        <v>123</v>
      </c>
      <c r="E12" s="235">
        <f>+D12/$D$18</f>
        <v>0.009159282150569662</v>
      </c>
      <c r="F12" s="235">
        <f>+(B12/D12)-1</f>
        <v>-0.12195121951219512</v>
      </c>
    </row>
    <row r="13" spans="1:6" ht="15">
      <c r="A13" s="2" t="s">
        <v>1099</v>
      </c>
      <c r="B13" s="105">
        <f>778.03+643.46+543+742.22</f>
        <v>2706.71</v>
      </c>
      <c r="C13" s="235">
        <f>+B13/$B$18</f>
        <v>0.1987011612232964</v>
      </c>
      <c r="D13" s="105">
        <v>3451</v>
      </c>
      <c r="E13" s="235">
        <f>+D13/$D$18</f>
        <v>0.2569811601757391</v>
      </c>
      <c r="F13" s="235">
        <f>+(B13/D13)-1</f>
        <v>-0.2156737177629673</v>
      </c>
    </row>
    <row r="14" spans="1:6" ht="15">
      <c r="A14" s="2" t="s">
        <v>570</v>
      </c>
      <c r="B14" s="266" t="s">
        <v>799</v>
      </c>
      <c r="C14" s="266" t="s">
        <v>799</v>
      </c>
      <c r="D14" s="105">
        <v>100</v>
      </c>
      <c r="E14" s="235">
        <f>+D14/$D$18</f>
        <v>0.007446570854121677</v>
      </c>
      <c r="F14" s="266" t="s">
        <v>799</v>
      </c>
    </row>
    <row r="15" spans="1:6" ht="15">
      <c r="A15" s="2"/>
      <c r="B15" s="105"/>
      <c r="C15" s="235"/>
      <c r="D15" s="105"/>
      <c r="E15" s="266"/>
      <c r="F15" s="266"/>
    </row>
    <row r="16" spans="1:6" ht="15">
      <c r="A16" s="2" t="s">
        <v>1110</v>
      </c>
      <c r="B16" s="105">
        <f>SUM(B11:B14)</f>
        <v>13614.773999999998</v>
      </c>
      <c r="C16" s="235">
        <f>+B16/$B$18</f>
        <v>0.9994685073734325</v>
      </c>
      <c r="D16" s="105">
        <f>SUM(D11:D14)</f>
        <v>13301</v>
      </c>
      <c r="E16" s="235">
        <f>+D16/$D$18</f>
        <v>0.9904683893067242</v>
      </c>
      <c r="F16" s="235">
        <f>+(B16/D16)-1</f>
        <v>0.0235902563717012</v>
      </c>
    </row>
    <row r="17" spans="1:6" ht="15">
      <c r="A17" s="2" t="s">
        <v>571</v>
      </c>
      <c r="B17" s="105">
        <v>7.24</v>
      </c>
      <c r="C17" s="235">
        <f>+B17/$B$18</f>
        <v>0.0005314926265675546</v>
      </c>
      <c r="D17" s="105">
        <v>128</v>
      </c>
      <c r="E17" s="235">
        <f>+D17/$D$18</f>
        <v>0.009531610693275747</v>
      </c>
      <c r="F17" s="235">
        <f>+(B17/D17)-1</f>
        <v>-0.9434375</v>
      </c>
    </row>
    <row r="18" spans="1:6" ht="14.25">
      <c r="A18" s="237" t="s">
        <v>674</v>
      </c>
      <c r="B18" s="238">
        <f>SUM(B16:B17)</f>
        <v>13622.013999999997</v>
      </c>
      <c r="C18" s="239">
        <f>SUM(C16:C17)</f>
        <v>1</v>
      </c>
      <c r="D18" s="238">
        <f>SUM(D16:D17)</f>
        <v>13429</v>
      </c>
      <c r="E18" s="240">
        <f>SUM(E16:E17)</f>
        <v>1</v>
      </c>
      <c r="F18" s="240">
        <f>+(B18/D18)-1</f>
        <v>0.01437292426837411</v>
      </c>
    </row>
    <row r="19" spans="1:6" ht="12.75">
      <c r="A19" s="69" t="s">
        <v>572</v>
      </c>
      <c r="B19" s="47"/>
      <c r="C19" s="47"/>
      <c r="D19" s="47"/>
      <c r="E19" s="47"/>
      <c r="F19" s="47"/>
    </row>
    <row r="20" spans="1:6" ht="12.75">
      <c r="A20" s="70" t="s">
        <v>777</v>
      </c>
      <c r="B20" s="47"/>
      <c r="C20" s="47"/>
      <c r="D20" s="47"/>
      <c r="E20" s="47"/>
      <c r="F20" s="47"/>
    </row>
    <row r="21" spans="1:6" ht="38.25" customHeight="1">
      <c r="A21" s="557" t="s">
        <v>1168</v>
      </c>
      <c r="B21" s="558"/>
      <c r="C21" s="558"/>
      <c r="D21" s="558"/>
      <c r="E21" s="558"/>
      <c r="F21" s="558"/>
    </row>
    <row r="22" spans="1:6" ht="12.75">
      <c r="A22" s="47"/>
      <c r="B22" s="47"/>
      <c r="C22" s="47"/>
      <c r="D22" s="47"/>
      <c r="E22" s="47"/>
      <c r="F22" s="47"/>
    </row>
    <row r="24" spans="1:2" ht="12.75">
      <c r="A24" t="s">
        <v>1085</v>
      </c>
      <c r="B24" s="127">
        <f>+C11</f>
        <v>0.7928390031018908</v>
      </c>
    </row>
    <row r="25" spans="1:2" ht="12.75">
      <c r="A25" t="s">
        <v>1086</v>
      </c>
      <c r="B25" s="127">
        <f>+C12</f>
        <v>0.00792834304824529</v>
      </c>
    </row>
    <row r="26" spans="1:2" ht="12.75">
      <c r="A26" t="s">
        <v>1087</v>
      </c>
      <c r="B26" s="127">
        <f>+C13</f>
        <v>0.1987011612232964</v>
      </c>
    </row>
    <row r="27" spans="1:2" ht="12.75">
      <c r="A27" t="s">
        <v>530</v>
      </c>
      <c r="B27" s="127">
        <f>+C17</f>
        <v>0.0005314926265675546</v>
      </c>
    </row>
  </sheetData>
  <mergeCells count="4">
    <mergeCell ref="A4:F4"/>
    <mergeCell ref="A5:F5"/>
    <mergeCell ref="A6:F6"/>
    <mergeCell ref="A21:F21"/>
  </mergeCells>
  <printOptions horizontalCentered="1"/>
  <pageMargins left="0.75" right="0.75" top="1" bottom="1" header="0" footer="0"/>
  <pageSetup horizontalDpi="300" verticalDpi="300" orientation="portrait" scale="90" r:id="rId2"/>
  <headerFooter alignWithMargins="0">
    <oddFooter>&amp;C67</oddFooter>
  </headerFooter>
  <drawing r:id="rId1"/>
</worksheet>
</file>

<file path=xl/worksheets/sheet54.xml><?xml version="1.0" encoding="utf-8"?>
<worksheet xmlns="http://schemas.openxmlformats.org/spreadsheetml/2006/main" xmlns:r="http://schemas.openxmlformats.org/officeDocument/2006/relationships">
  <dimension ref="A1:J28"/>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695</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979</v>
      </c>
      <c r="C10" s="233" t="s">
        <v>665</v>
      </c>
      <c r="D10" s="233" t="s">
        <v>921</v>
      </c>
      <c r="E10" s="233" t="s">
        <v>665</v>
      </c>
      <c r="F10" s="233" t="s">
        <v>883</v>
      </c>
    </row>
    <row r="11" spans="1:10" ht="15">
      <c r="A11" s="2" t="s">
        <v>1090</v>
      </c>
      <c r="B11" s="260">
        <f>SUM(B12)</f>
        <v>898417.2640000001</v>
      </c>
      <c r="C11" s="259">
        <f>SUM(C12)</f>
        <v>0.825526660244706</v>
      </c>
      <c r="D11" s="255">
        <f>SUM(D12)</f>
        <v>619935</v>
      </c>
      <c r="E11" s="156">
        <f>SUM(E12)</f>
        <v>0.795075235072322</v>
      </c>
      <c r="F11" s="156">
        <f>+(B12/D11)-1</f>
        <v>0.4492120367457879</v>
      </c>
      <c r="H11" s="36"/>
      <c r="J11" s="127"/>
    </row>
    <row r="12" spans="1:10" ht="15">
      <c r="A12" s="3" t="s">
        <v>532</v>
      </c>
      <c r="B12" s="105">
        <v>898417.2640000001</v>
      </c>
      <c r="C12" s="235">
        <f>+B12/$B$20</f>
        <v>0.825526660244706</v>
      </c>
      <c r="D12" s="214">
        <v>619935</v>
      </c>
      <c r="E12" s="235">
        <f>+D12/$D$20</f>
        <v>0.795075235072322</v>
      </c>
      <c r="F12" s="235">
        <f aca="true" t="shared" si="0" ref="F12:F18">+(B12/D12)-1</f>
        <v>0.4492120367457879</v>
      </c>
      <c r="H12" s="36"/>
      <c r="J12" s="127"/>
    </row>
    <row r="13" spans="1:10" ht="15">
      <c r="A13" s="2" t="s">
        <v>573</v>
      </c>
      <c r="B13" s="155">
        <f>SUM(B14:B15)</f>
        <v>10156.405999999999</v>
      </c>
      <c r="C13" s="156">
        <f>SUM(C14:C15)</f>
        <v>0.00933239404587988</v>
      </c>
      <c r="D13" s="255">
        <f>SUM(D14:D15)</f>
        <v>12139.11891186138</v>
      </c>
      <c r="E13" s="156">
        <f>SUM(E14:E15)</f>
        <v>0.015568588355906757</v>
      </c>
      <c r="F13" s="156">
        <f t="shared" si="0"/>
        <v>-0.16333252242253204</v>
      </c>
      <c r="H13" s="36"/>
      <c r="J13" s="127"/>
    </row>
    <row r="14" spans="1:10" ht="15">
      <c r="A14" s="3" t="s">
        <v>532</v>
      </c>
      <c r="B14" s="105">
        <v>5174.629</v>
      </c>
      <c r="C14" s="235">
        <f>+B14/$B$20</f>
        <v>0.0047547997657082005</v>
      </c>
      <c r="D14" s="105">
        <f>'[5]Dic-SIP'!$H$88</f>
        <v>7001.03098315805</v>
      </c>
      <c r="E14" s="235">
        <f>+D14/$D$20</f>
        <v>0.008978919329741014</v>
      </c>
      <c r="F14" s="235">
        <f t="shared" si="0"/>
        <v>-0.2608761463206938</v>
      </c>
      <c r="H14" s="36"/>
      <c r="J14" s="127"/>
    </row>
    <row r="15" spans="1:10" ht="15">
      <c r="A15" s="3" t="s">
        <v>1124</v>
      </c>
      <c r="B15" s="105">
        <v>4981.777</v>
      </c>
      <c r="C15" s="235">
        <f>+B15/$B$20</f>
        <v>0.00457759428017168</v>
      </c>
      <c r="D15" s="105">
        <f>'[5]Dic-SIP'!$H$91</f>
        <v>5138.087928703329</v>
      </c>
      <c r="E15" s="235">
        <f>+D15/$D$20</f>
        <v>0.006589669026165743</v>
      </c>
      <c r="F15" s="235">
        <f t="shared" si="0"/>
        <v>-0.030422003451929358</v>
      </c>
      <c r="H15" s="36"/>
      <c r="J15" s="127"/>
    </row>
    <row r="16" spans="1:10" ht="15">
      <c r="A16" s="247" t="s">
        <v>1099</v>
      </c>
      <c r="B16" s="155">
        <v>152708.029</v>
      </c>
      <c r="C16" s="156">
        <f>+B16/$B$20</f>
        <v>0.14031848476691974</v>
      </c>
      <c r="D16" s="255">
        <v>135912</v>
      </c>
      <c r="E16" s="156">
        <f>+D16/$D$20</f>
        <v>0.17430902489639952</v>
      </c>
      <c r="F16" s="156">
        <f t="shared" si="0"/>
        <v>0.12358017687915712</v>
      </c>
      <c r="H16" s="36"/>
      <c r="J16" s="127"/>
    </row>
    <row r="17" spans="1:10" ht="15">
      <c r="A17" s="2" t="s">
        <v>1110</v>
      </c>
      <c r="B17" s="155">
        <f>+B11+B13+B16</f>
        <v>1061281.699</v>
      </c>
      <c r="C17" s="156">
        <f>+C11+C13+C16</f>
        <v>0.9751775390575057</v>
      </c>
      <c r="D17" s="255">
        <f>+D11+D13+D16</f>
        <v>767986.1189118613</v>
      </c>
      <c r="E17" s="156">
        <f>+E11+E13+E16</f>
        <v>0.9849528483246284</v>
      </c>
      <c r="F17" s="156">
        <f t="shared" si="0"/>
        <v>0.38190218920063446</v>
      </c>
      <c r="H17" s="36"/>
      <c r="J17" s="127"/>
    </row>
    <row r="18" spans="1:10" ht="15">
      <c r="A18" s="2" t="s">
        <v>1111</v>
      </c>
      <c r="B18" s="155">
        <v>27014.182</v>
      </c>
      <c r="C18" s="156">
        <f>+B18/$B$20</f>
        <v>0.02482246094249437</v>
      </c>
      <c r="D18" s="255">
        <v>11732.545</v>
      </c>
      <c r="E18" s="156">
        <f>+D18/$D$20</f>
        <v>0.015047151675371767</v>
      </c>
      <c r="F18" s="156">
        <f t="shared" si="0"/>
        <v>1.3024997560205396</v>
      </c>
      <c r="H18" s="36"/>
      <c r="J18" s="127"/>
    </row>
    <row r="19" spans="1:10" ht="15">
      <c r="A19" s="244"/>
      <c r="B19" s="105"/>
      <c r="C19" s="235"/>
      <c r="D19" s="214"/>
      <c r="E19" s="235"/>
      <c r="F19" s="235"/>
      <c r="G19" s="151"/>
      <c r="H19" s="36"/>
      <c r="J19" s="127"/>
    </row>
    <row r="20" spans="1:8" ht="14.25">
      <c r="A20" s="237" t="s">
        <v>674</v>
      </c>
      <c r="B20" s="238">
        <f>SUM(B17:B19)</f>
        <v>1088295.881</v>
      </c>
      <c r="C20" s="240">
        <f>SUM(C17:C19)</f>
        <v>1</v>
      </c>
      <c r="D20" s="238">
        <f>SUM(D17:D18)</f>
        <v>779718.6639118614</v>
      </c>
      <c r="E20" s="240">
        <f>SUM(E17:E18)</f>
        <v>1.0000000000000002</v>
      </c>
      <c r="F20" s="240">
        <f>+(B20/D20)-1</f>
        <v>0.3957545604205519</v>
      </c>
      <c r="H20" s="36"/>
    </row>
    <row r="21" spans="1:6" ht="15">
      <c r="A21" s="5"/>
      <c r="B21" s="5"/>
      <c r="C21" s="5"/>
      <c r="D21" s="5"/>
      <c r="E21" s="5"/>
      <c r="F21" s="5"/>
    </row>
    <row r="22" spans="1:6" ht="12.75">
      <c r="A22" s="71" t="s">
        <v>574</v>
      </c>
      <c r="B22" s="47"/>
      <c r="C22" s="47"/>
      <c r="D22" s="47"/>
      <c r="E22" s="47"/>
      <c r="F22" s="47"/>
    </row>
    <row r="23" spans="1:6" ht="12.75">
      <c r="A23" s="47"/>
      <c r="B23" s="47"/>
      <c r="C23" s="47"/>
      <c r="D23" s="47"/>
      <c r="E23" s="47"/>
      <c r="F23" s="47"/>
    </row>
    <row r="25" spans="1:2" ht="12.75">
      <c r="A25" t="s">
        <v>1085</v>
      </c>
      <c r="B25" s="127">
        <f>+C11</f>
        <v>0.825526660244706</v>
      </c>
    </row>
    <row r="26" spans="1:2" ht="12.75">
      <c r="A26" t="s">
        <v>1087</v>
      </c>
      <c r="B26" s="127">
        <f>+C16</f>
        <v>0.14031848476691974</v>
      </c>
    </row>
    <row r="27" spans="1:2" ht="12.75">
      <c r="A27" t="s">
        <v>1086</v>
      </c>
      <c r="B27" s="127">
        <f>+C13</f>
        <v>0.00933239404587988</v>
      </c>
    </row>
    <row r="28" spans="1:2" ht="12.75">
      <c r="A28" t="s">
        <v>1089</v>
      </c>
      <c r="B28" s="127">
        <f>+C18</f>
        <v>0.02482246094249437</v>
      </c>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&amp;C68</oddFooter>
  </headerFooter>
  <drawing r:id="rId1"/>
</worksheet>
</file>

<file path=xl/worksheets/sheet55.xml><?xml version="1.0" encoding="utf-8"?>
<worksheet xmlns="http://schemas.openxmlformats.org/spreadsheetml/2006/main" xmlns:r="http://schemas.openxmlformats.org/officeDocument/2006/relationships">
  <dimension ref="A1:L32"/>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698</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11" ht="15">
      <c r="A10" s="5"/>
      <c r="B10" s="248" t="s">
        <v>979</v>
      </c>
      <c r="C10" s="233" t="s">
        <v>665</v>
      </c>
      <c r="D10" s="248" t="s">
        <v>921</v>
      </c>
      <c r="E10" s="233" t="s">
        <v>665</v>
      </c>
      <c r="F10" s="233" t="s">
        <v>883</v>
      </c>
      <c r="I10" s="233" t="s">
        <v>882</v>
      </c>
      <c r="J10">
        <v>0.988533</v>
      </c>
      <c r="K10">
        <v>2000</v>
      </c>
    </row>
    <row r="11" spans="1:10" ht="15">
      <c r="A11" s="2" t="s">
        <v>575</v>
      </c>
      <c r="B11" s="155">
        <f>SUM(B12:B15)</f>
        <v>22041570.32</v>
      </c>
      <c r="C11" s="156">
        <f>SUM(C12:C15)</f>
        <v>0.44</v>
      </c>
      <c r="D11" s="155">
        <f>SUM(D12:D15)</f>
        <v>18583161.12</v>
      </c>
      <c r="E11" s="156">
        <f>SUM(E12:E15)</f>
        <v>0.48</v>
      </c>
      <c r="F11" s="156">
        <f>+(B11/D11)-1</f>
        <v>0.18610446186563534</v>
      </c>
      <c r="J11" s="127"/>
    </row>
    <row r="12" spans="1:12" ht="15">
      <c r="A12" s="234" t="s">
        <v>576</v>
      </c>
      <c r="B12" s="105">
        <f>+$B$22*C12</f>
        <v>10018895.6</v>
      </c>
      <c r="C12" s="235">
        <v>0.2</v>
      </c>
      <c r="D12" s="105">
        <f>+$D$22*E12</f>
        <v>9678729.75</v>
      </c>
      <c r="E12" s="235">
        <v>0.25</v>
      </c>
      <c r="F12" s="235">
        <f>+(B12/D12)-1</f>
        <v>0.03514571217364537</v>
      </c>
      <c r="I12" s="36">
        <v>8156256</v>
      </c>
      <c r="J12" s="36">
        <f>+I12*$J$10</f>
        <v>8062728.212448</v>
      </c>
      <c r="K12" s="36">
        <f>K$22*L12</f>
        <v>10111292.734464746</v>
      </c>
      <c r="L12" s="127">
        <v>0.3082118643429329</v>
      </c>
    </row>
    <row r="13" spans="1:12" ht="15">
      <c r="A13" s="234" t="s">
        <v>577</v>
      </c>
      <c r="B13" s="105">
        <f>+$B$22*C13</f>
        <v>7514171.7</v>
      </c>
      <c r="C13" s="235">
        <v>0.15</v>
      </c>
      <c r="D13" s="105">
        <f>+$D$22*E13</f>
        <v>4645790.28</v>
      </c>
      <c r="E13" s="235">
        <v>0.12</v>
      </c>
      <c r="F13" s="235">
        <f>+(B13/D13)-1</f>
        <v>0.6174151752713211</v>
      </c>
      <c r="I13" s="36">
        <v>5768350</v>
      </c>
      <c r="J13" s="36">
        <f>+I13*$J$10</f>
        <v>5702204.33055</v>
      </c>
      <c r="K13" s="36">
        <f>K$22*L13</f>
        <v>3923161.453666603</v>
      </c>
      <c r="L13" s="127">
        <v>0.11958558984564135</v>
      </c>
    </row>
    <row r="14" spans="1:12" ht="15">
      <c r="A14" s="234" t="s">
        <v>578</v>
      </c>
      <c r="B14" s="105">
        <f>+$B$22*C14</f>
        <v>4007558.24</v>
      </c>
      <c r="C14" s="235">
        <v>0.08</v>
      </c>
      <c r="D14" s="105">
        <f>+$D$22*E14</f>
        <v>3097193.52</v>
      </c>
      <c r="E14" s="235">
        <v>0.08</v>
      </c>
      <c r="F14" s="235">
        <f>+(B14/D14)-1</f>
        <v>0.29393214021705694</v>
      </c>
      <c r="I14" s="36">
        <v>3862237</v>
      </c>
      <c r="J14" s="36">
        <f>+I14*$J$10</f>
        <v>3817948.728321</v>
      </c>
      <c r="K14" s="36">
        <f>K$22*L14</f>
        <v>2770878.1247987947</v>
      </c>
      <c r="L14" s="127">
        <v>0.08446175332263238</v>
      </c>
    </row>
    <row r="15" spans="1:12" ht="15">
      <c r="A15" s="234" t="s">
        <v>617</v>
      </c>
      <c r="B15" s="105">
        <f>+$B$22*C15</f>
        <v>500944.78</v>
      </c>
      <c r="C15" s="235">
        <v>0.01</v>
      </c>
      <c r="D15" s="105">
        <f>+$D$22*E15</f>
        <v>1161447.57</v>
      </c>
      <c r="E15" s="235">
        <v>0.03</v>
      </c>
      <c r="F15" s="106" t="s">
        <v>912</v>
      </c>
      <c r="I15" s="36">
        <v>411426</v>
      </c>
      <c r="J15" s="36">
        <f>+I15*$J$10</f>
        <v>406708.178058</v>
      </c>
      <c r="K15" s="36">
        <f>K$22*L15</f>
        <v>235066.05511151277</v>
      </c>
      <c r="L15" s="127">
        <v>0.007165270454756862</v>
      </c>
    </row>
    <row r="16" spans="1:11" ht="15">
      <c r="A16" s="2" t="s">
        <v>579</v>
      </c>
      <c r="B16" s="155">
        <f>SUM(B17:B18)</f>
        <v>12523619.5</v>
      </c>
      <c r="C16" s="156">
        <f>SUM(C17:C18)</f>
        <v>0.25</v>
      </c>
      <c r="D16" s="155">
        <f>SUM(D17:D18)</f>
        <v>12001624.89</v>
      </c>
      <c r="E16" s="156">
        <f>SUM(E17:E18)</f>
        <v>0.31</v>
      </c>
      <c r="F16" s="156">
        <f>+(B16/D16)-1</f>
        <v>0.04349366146536848</v>
      </c>
      <c r="I16" s="36"/>
      <c r="J16" s="36"/>
      <c r="K16" s="36"/>
    </row>
    <row r="17" spans="1:12" ht="15">
      <c r="A17" s="234" t="s">
        <v>580</v>
      </c>
      <c r="B17" s="105">
        <f>+$B$22*C17</f>
        <v>8516061.26</v>
      </c>
      <c r="C17" s="235">
        <v>0.17</v>
      </c>
      <c r="D17" s="105">
        <f>+$D$22*E17</f>
        <v>6968685.42</v>
      </c>
      <c r="E17" s="235">
        <v>0.18</v>
      </c>
      <c r="F17" s="235">
        <f>+(B17/D17)-1</f>
        <v>0.2220470213161092</v>
      </c>
      <c r="I17" s="36">
        <v>7685011</v>
      </c>
      <c r="J17" s="36">
        <f>+I17*$J$10</f>
        <v>7596886.978863</v>
      </c>
      <c r="K17" s="36">
        <f>K$22*L17</f>
        <v>3600227.4987914963</v>
      </c>
      <c r="L17" s="127">
        <v>0.10974193494358969</v>
      </c>
    </row>
    <row r="18" spans="1:12" ht="15">
      <c r="A18" s="234" t="s">
        <v>581</v>
      </c>
      <c r="B18" s="105">
        <f>+$B$22*C18</f>
        <v>4007558.24</v>
      </c>
      <c r="C18" s="235">
        <v>0.08</v>
      </c>
      <c r="D18" s="105">
        <f>+$D$22*E18</f>
        <v>5032939.47</v>
      </c>
      <c r="E18" s="235">
        <v>0.13</v>
      </c>
      <c r="F18" s="235">
        <f>+(B18/D18)-1</f>
        <v>-0.20373406755873413</v>
      </c>
      <c r="I18" s="36">
        <v>4353555</v>
      </c>
      <c r="J18" s="36">
        <f>+I18*$J$10</f>
        <v>4303632.784815</v>
      </c>
      <c r="K18" s="36">
        <f>K$22*L18</f>
        <v>4542643.2927695755</v>
      </c>
      <c r="L18" s="127">
        <v>0.1384686009076906</v>
      </c>
    </row>
    <row r="19" spans="1:12" ht="15">
      <c r="A19" s="2" t="s">
        <v>582</v>
      </c>
      <c r="B19" s="155">
        <f>+$B$22*C19</f>
        <v>9017006.04</v>
      </c>
      <c r="C19" s="156">
        <v>0.18</v>
      </c>
      <c r="D19" s="155">
        <f>+$D$22*E19</f>
        <v>4645790.28</v>
      </c>
      <c r="E19" s="156">
        <v>0.12</v>
      </c>
      <c r="F19" s="156">
        <f>+(B19/D19)-1</f>
        <v>0.940898210325585</v>
      </c>
      <c r="I19" s="36">
        <v>6973328</v>
      </c>
      <c r="J19" s="36">
        <f>+I19*$J$10</f>
        <v>6893364.847824</v>
      </c>
      <c r="K19" s="36">
        <f>K$22*L19</f>
        <v>6258345.445878808</v>
      </c>
      <c r="L19" s="127">
        <v>0.19076653878308666</v>
      </c>
    </row>
    <row r="20" spans="1:12" ht="15">
      <c r="A20" s="2" t="s">
        <v>583</v>
      </c>
      <c r="B20" s="155">
        <f>+$B$22*C20</f>
        <v>6512282.140000001</v>
      </c>
      <c r="C20" s="156">
        <v>0.13</v>
      </c>
      <c r="D20" s="155">
        <f>+$D$22*E20</f>
        <v>3484342.71</v>
      </c>
      <c r="E20" s="156">
        <v>0.09</v>
      </c>
      <c r="F20" s="156">
        <f>+(B20/D20)-1</f>
        <v>0.8690130914246379</v>
      </c>
      <c r="I20" s="36">
        <f>126609+2545496</f>
        <v>2672105</v>
      </c>
      <c r="J20" s="36">
        <f>+I20*$J$10</f>
        <v>2641463.971965</v>
      </c>
      <c r="K20" s="36">
        <f>K$22*L20</f>
        <v>1364691.3945184683</v>
      </c>
      <c r="L20" s="127">
        <v>0.0415984473996697</v>
      </c>
    </row>
    <row r="21" spans="1:10" ht="15">
      <c r="A21" s="2" t="s">
        <v>686</v>
      </c>
      <c r="B21" s="105"/>
      <c r="C21" s="235"/>
      <c r="D21" s="105"/>
      <c r="E21" s="156"/>
      <c r="F21" s="235"/>
      <c r="I21" s="118"/>
      <c r="J21" s="36"/>
    </row>
    <row r="22" spans="1:11" ht="14.25">
      <c r="A22" s="237" t="s">
        <v>674</v>
      </c>
      <c r="B22" s="238">
        <v>50094478</v>
      </c>
      <c r="C22" s="239">
        <f>+C11+C16+C19+C20</f>
        <v>0.9999999999999999</v>
      </c>
      <c r="D22" s="238">
        <v>38714919</v>
      </c>
      <c r="E22" s="240">
        <f>+E11+E16+E19+E20</f>
        <v>1</v>
      </c>
      <c r="F22" s="240">
        <f>+(B22/D22)-1</f>
        <v>0.29393214021705694</v>
      </c>
      <c r="I22" s="36">
        <v>43185531</v>
      </c>
      <c r="J22" s="36">
        <f>SUM(J11:J21)</f>
        <v>39424938.032844</v>
      </c>
      <c r="K22">
        <v>32806306</v>
      </c>
    </row>
    <row r="23" spans="1:10" ht="15">
      <c r="A23" s="5"/>
      <c r="B23" s="5"/>
      <c r="C23" s="5"/>
      <c r="D23" s="5"/>
      <c r="E23" s="5"/>
      <c r="F23" s="5"/>
      <c r="I23" s="36">
        <f>SUM(I12:I20)</f>
        <v>39882268</v>
      </c>
      <c r="J23" s="36">
        <f>+I22*J10</f>
        <v>42690322.516023</v>
      </c>
    </row>
    <row r="24" spans="1:6" ht="12.75">
      <c r="A24" s="69" t="s">
        <v>778</v>
      </c>
      <c r="B24" s="47"/>
      <c r="C24" s="47"/>
      <c r="D24" s="47"/>
      <c r="E24" s="47"/>
      <c r="F24" s="47"/>
    </row>
    <row r="25" spans="1:6" ht="12.75">
      <c r="A25" s="68" t="s">
        <v>523</v>
      </c>
      <c r="B25" s="47"/>
      <c r="C25" s="47"/>
      <c r="D25" s="47"/>
      <c r="E25" s="47"/>
      <c r="F25" s="47"/>
    </row>
    <row r="26" spans="1:6" ht="12.75">
      <c r="A26" s="521" t="s">
        <v>603</v>
      </c>
      <c r="B26" s="521"/>
      <c r="C26" s="521"/>
      <c r="D26" s="521"/>
      <c r="E26" s="521"/>
      <c r="F26" s="521"/>
    </row>
    <row r="29" spans="1:2" ht="12.75">
      <c r="A29" t="s">
        <v>1145</v>
      </c>
      <c r="B29" s="127">
        <f>C11</f>
        <v>0.44</v>
      </c>
    </row>
    <row r="30" spans="1:2" ht="12.75">
      <c r="A30" t="s">
        <v>1146</v>
      </c>
      <c r="B30" s="127">
        <f>C16</f>
        <v>0.25</v>
      </c>
    </row>
    <row r="31" spans="1:2" ht="12.75">
      <c r="A31" t="s">
        <v>1147</v>
      </c>
      <c r="B31" s="127">
        <f>C19</f>
        <v>0.18</v>
      </c>
    </row>
    <row r="32" spans="1:2" ht="12.75">
      <c r="A32" t="s">
        <v>1142</v>
      </c>
      <c r="B32" s="127">
        <f>C20</f>
        <v>0.13</v>
      </c>
    </row>
  </sheetData>
  <mergeCells count="4">
    <mergeCell ref="A4:F4"/>
    <mergeCell ref="A5:F5"/>
    <mergeCell ref="A6:F6"/>
    <mergeCell ref="A26:F26"/>
  </mergeCells>
  <printOptions horizontalCentered="1"/>
  <pageMargins left="0.75" right="0.75" top="1" bottom="1" header="0" footer="0"/>
  <pageSetup horizontalDpi="300" verticalDpi="300" orientation="portrait" scale="90" r:id="rId2"/>
  <headerFooter alignWithMargins="0">
    <oddFooter>&amp;C69</oddFooter>
  </headerFooter>
  <drawing r:id="rId1"/>
</worksheet>
</file>

<file path=xl/worksheets/sheet56.xml><?xml version="1.0" encoding="utf-8"?>
<worksheet xmlns="http://schemas.openxmlformats.org/spreadsheetml/2006/main" xmlns:r="http://schemas.openxmlformats.org/officeDocument/2006/relationships">
  <dimension ref="A1:L29"/>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526</v>
      </c>
      <c r="B4" s="580"/>
      <c r="C4" s="580"/>
      <c r="D4" s="580"/>
      <c r="E4" s="580"/>
      <c r="F4" s="581"/>
    </row>
    <row r="5" spans="1:6" ht="15.75">
      <c r="A5" s="525" t="s">
        <v>1169</v>
      </c>
      <c r="B5" s="525"/>
      <c r="C5" s="525"/>
      <c r="D5" s="525"/>
      <c r="E5" s="525"/>
      <c r="F5" s="525"/>
    </row>
    <row r="6" spans="1:8" ht="15.75">
      <c r="A6" s="526" t="s">
        <v>1170</v>
      </c>
      <c r="B6" s="526"/>
      <c r="C6" s="526"/>
      <c r="D6" s="526"/>
      <c r="E6" s="526"/>
      <c r="F6" s="526"/>
      <c r="H6" s="28"/>
    </row>
    <row r="7" spans="1:8" ht="15.75">
      <c r="A7" s="6"/>
      <c r="B7" s="5"/>
      <c r="C7" s="5"/>
      <c r="D7" s="5"/>
      <c r="E7" s="5"/>
      <c r="F7" s="5"/>
      <c r="H7" s="28"/>
    </row>
    <row r="8" spans="1:6" ht="15">
      <c r="A8" s="5"/>
      <c r="B8" s="230" t="s">
        <v>1082</v>
      </c>
      <c r="C8" s="2"/>
      <c r="D8" s="230" t="s">
        <v>1082</v>
      </c>
      <c r="E8" s="2"/>
      <c r="F8" s="47"/>
    </row>
    <row r="9" spans="1:8" ht="15">
      <c r="A9" s="5"/>
      <c r="B9" s="231" t="s">
        <v>1083</v>
      </c>
      <c r="C9" s="2"/>
      <c r="D9" s="231" t="s">
        <v>1083</v>
      </c>
      <c r="E9" s="2"/>
      <c r="F9" s="232"/>
      <c r="H9" s="28"/>
    </row>
    <row r="10" spans="1:6" ht="15">
      <c r="A10" s="5"/>
      <c r="B10" s="233" t="s">
        <v>921</v>
      </c>
      <c r="C10" s="233" t="s">
        <v>665</v>
      </c>
      <c r="D10" s="233" t="s">
        <v>797</v>
      </c>
      <c r="E10" s="233" t="s">
        <v>665</v>
      </c>
      <c r="F10" s="233" t="s">
        <v>933</v>
      </c>
    </row>
    <row r="11" spans="1:10" ht="30">
      <c r="A11" s="267" t="s">
        <v>387</v>
      </c>
      <c r="B11" s="105">
        <v>923428.1986463346</v>
      </c>
      <c r="C11" s="235">
        <v>0.8</v>
      </c>
      <c r="D11" s="105">
        <v>478693</v>
      </c>
      <c r="E11" s="235">
        <v>0.776</v>
      </c>
      <c r="F11" s="235">
        <f aca="true" t="shared" si="0" ref="F11:F16">+(B11/D11)-1</f>
        <v>0.9290614206732386</v>
      </c>
      <c r="H11" s="28"/>
      <c r="J11" s="127"/>
    </row>
    <row r="12" spans="1:12" ht="15">
      <c r="A12" s="28" t="s">
        <v>388</v>
      </c>
      <c r="B12" s="105">
        <v>34628.557449237545</v>
      </c>
      <c r="C12" s="235">
        <v>0.03</v>
      </c>
      <c r="D12" s="105">
        <v>14188</v>
      </c>
      <c r="E12" s="235">
        <v>0.023</v>
      </c>
      <c r="F12" s="235">
        <f t="shared" si="0"/>
        <v>1.4406933640567767</v>
      </c>
      <c r="H12" s="28"/>
      <c r="I12" s="118"/>
      <c r="J12" s="127"/>
      <c r="K12" s="36"/>
      <c r="L12" s="127"/>
    </row>
    <row r="13" spans="1:12" ht="15">
      <c r="A13" s="28" t="s">
        <v>389</v>
      </c>
      <c r="B13" s="105">
        <v>133897.0888037185</v>
      </c>
      <c r="C13" s="235">
        <v>0.116</v>
      </c>
      <c r="D13" s="105">
        <v>91297</v>
      </c>
      <c r="E13" s="235">
        <v>0.148</v>
      </c>
      <c r="F13" s="235">
        <f t="shared" si="0"/>
        <v>0.4666099521749729</v>
      </c>
      <c r="I13" s="118"/>
      <c r="J13" s="127"/>
      <c r="K13" s="36"/>
      <c r="L13" s="127"/>
    </row>
    <row r="14" spans="1:12" ht="15">
      <c r="A14" s="28" t="s">
        <v>390</v>
      </c>
      <c r="B14" s="105">
        <v>26548.56071108212</v>
      </c>
      <c r="C14" s="235">
        <v>0.023</v>
      </c>
      <c r="D14" s="105">
        <v>16039</v>
      </c>
      <c r="E14" s="235">
        <v>0.026</v>
      </c>
      <c r="F14" s="235">
        <f t="shared" si="0"/>
        <v>0.6552503716617071</v>
      </c>
      <c r="I14" s="118"/>
      <c r="J14" s="127"/>
      <c r="K14" s="36"/>
      <c r="L14" s="127"/>
    </row>
    <row r="15" spans="1:12" ht="15">
      <c r="A15" s="5" t="s">
        <v>391</v>
      </c>
      <c r="B15" s="105">
        <v>21931.419717850444</v>
      </c>
      <c r="C15" s="235">
        <v>0.019</v>
      </c>
      <c r="D15" s="105">
        <v>8019</v>
      </c>
      <c r="E15" s="235">
        <v>0.013</v>
      </c>
      <c r="F15" s="235">
        <f t="shared" si="0"/>
        <v>1.7349320012283882</v>
      </c>
      <c r="I15" s="118"/>
      <c r="J15" s="127"/>
      <c r="K15" s="36"/>
      <c r="L15" s="127"/>
    </row>
    <row r="16" spans="1:10" ht="15">
      <c r="A16" s="5" t="s">
        <v>1089</v>
      </c>
      <c r="B16" s="105">
        <v>13851.422979695019</v>
      </c>
      <c r="C16" s="235">
        <v>0.012</v>
      </c>
      <c r="D16" s="105">
        <v>8636</v>
      </c>
      <c r="E16" s="235">
        <v>0.014</v>
      </c>
      <c r="F16" s="235">
        <f t="shared" si="0"/>
        <v>0.6039165099229988</v>
      </c>
      <c r="I16" s="118"/>
      <c r="J16" s="127"/>
    </row>
    <row r="17" spans="1:10" ht="14.25">
      <c r="A17" s="237" t="s">
        <v>674</v>
      </c>
      <c r="B17" s="238">
        <f>SUM(B11:B16)</f>
        <v>1154285.2483079182</v>
      </c>
      <c r="C17" s="239">
        <f>SUM(C11:C16)</f>
        <v>1</v>
      </c>
      <c r="D17" s="238">
        <f>SUM(D11:D16)</f>
        <v>616872</v>
      </c>
      <c r="E17" s="240">
        <f>SUM(E11:E16)</f>
        <v>1</v>
      </c>
      <c r="F17" s="240">
        <f>+(B17-D17)/D17</f>
        <v>0.8711908601912848</v>
      </c>
      <c r="J17" s="127"/>
    </row>
    <row r="18" spans="1:6" ht="15">
      <c r="A18" s="5"/>
      <c r="B18" s="105"/>
      <c r="C18" s="5"/>
      <c r="D18" s="105"/>
      <c r="E18" s="5"/>
      <c r="F18" s="5"/>
    </row>
    <row r="19" spans="1:6" ht="12.75">
      <c r="A19" s="148" t="s">
        <v>392</v>
      </c>
      <c r="B19" s="47"/>
      <c r="C19" s="47"/>
      <c r="D19" s="47"/>
      <c r="E19" s="47"/>
      <c r="F19" s="47"/>
    </row>
    <row r="20" spans="1:6" ht="12.75">
      <c r="A20" s="157" t="s">
        <v>531</v>
      </c>
      <c r="B20" s="47"/>
      <c r="C20" s="47"/>
      <c r="D20" s="47"/>
      <c r="E20" s="47"/>
      <c r="F20" s="47"/>
    </row>
    <row r="21" ht="12.75">
      <c r="A21" s="148" t="s">
        <v>393</v>
      </c>
    </row>
    <row r="22" spans="1:6" ht="27" customHeight="1">
      <c r="A22" s="520" t="s">
        <v>394</v>
      </c>
      <c r="B22" s="520"/>
      <c r="C22" s="520"/>
      <c r="D22" s="520"/>
      <c r="E22" s="520"/>
      <c r="F22" s="520"/>
    </row>
    <row r="24" spans="1:2" ht="12.75">
      <c r="A24" s="34" t="s">
        <v>527</v>
      </c>
      <c r="B24" s="127">
        <f>C11</f>
        <v>0.8</v>
      </c>
    </row>
    <row r="25" spans="1:2" ht="12.75">
      <c r="A25" s="34" t="s">
        <v>1135</v>
      </c>
      <c r="B25" s="127">
        <f>C12</f>
        <v>0.03</v>
      </c>
    </row>
    <row r="26" spans="1:2" ht="12.75">
      <c r="A26" s="34" t="s">
        <v>1114</v>
      </c>
      <c r="B26" s="127">
        <f>C13</f>
        <v>0.116</v>
      </c>
    </row>
    <row r="27" spans="1:2" ht="12.75">
      <c r="A27" s="34" t="s">
        <v>395</v>
      </c>
      <c r="B27" s="127">
        <f>C14</f>
        <v>0.023</v>
      </c>
    </row>
    <row r="28" spans="1:2" ht="12.75">
      <c r="A28" s="18" t="s">
        <v>1142</v>
      </c>
      <c r="B28" s="127">
        <f>C15</f>
        <v>0.019</v>
      </c>
    </row>
    <row r="29" spans="1:2" ht="12.75">
      <c r="A29" s="125" t="s">
        <v>530</v>
      </c>
      <c r="B29" s="127">
        <f>+C16</f>
        <v>0.012</v>
      </c>
    </row>
  </sheetData>
  <mergeCells count="4">
    <mergeCell ref="A4:F4"/>
    <mergeCell ref="A5:F5"/>
    <mergeCell ref="A6:F6"/>
    <mergeCell ref="A22:F22"/>
  </mergeCells>
  <printOptions horizontalCentered="1"/>
  <pageMargins left="0.75" right="0.75" top="1" bottom="1" header="0" footer="0"/>
  <pageSetup horizontalDpi="300" verticalDpi="300" orientation="portrait" scale="90" r:id="rId2"/>
  <headerFooter alignWithMargins="0">
    <oddFooter>&amp;C70</oddFooter>
  </headerFooter>
  <drawing r:id="rId1"/>
</worksheet>
</file>

<file path=xl/worksheets/sheet57.xml><?xml version="1.0" encoding="utf-8"?>
<worksheet xmlns="http://schemas.openxmlformats.org/spreadsheetml/2006/main" xmlns:r="http://schemas.openxmlformats.org/officeDocument/2006/relationships">
  <dimension ref="A1:K35"/>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9" max="9" width="9.8515625" style="268"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976</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9" ht="15">
      <c r="A10" s="5"/>
      <c r="B10" s="248" t="s">
        <v>882</v>
      </c>
      <c r="C10" s="248" t="s">
        <v>665</v>
      </c>
      <c r="D10" s="248" t="s">
        <v>823</v>
      </c>
      <c r="E10" s="233" t="s">
        <v>665</v>
      </c>
      <c r="F10" s="233" t="s">
        <v>883</v>
      </c>
      <c r="I10" s="268">
        <v>145.495</v>
      </c>
    </row>
    <row r="11" spans="1:11" s="269" customFormat="1" ht="15">
      <c r="A11" s="2" t="s">
        <v>1090</v>
      </c>
      <c r="B11" s="155">
        <f>SUM(B12:B14)</f>
        <v>795930</v>
      </c>
      <c r="C11" s="156">
        <f>+B11/$B$25</f>
        <v>0.5559645716041967</v>
      </c>
      <c r="D11" s="255">
        <f>SUM(D12:D14)</f>
        <v>555533</v>
      </c>
      <c r="E11" s="156">
        <f aca="true" t="shared" si="0" ref="E11:E22">+D11/$D$25</f>
        <v>0.7477132504953053</v>
      </c>
      <c r="F11" s="156">
        <f>+(B11/D11)-1</f>
        <v>0.43273216892605837</v>
      </c>
      <c r="I11" s="270"/>
      <c r="K11" s="271">
        <f>SUM(K12:K14)</f>
        <v>0.9494915906823711</v>
      </c>
    </row>
    <row r="12" spans="1:11" ht="25.5">
      <c r="A12" s="272" t="s">
        <v>396</v>
      </c>
      <c r="B12" s="273" t="s">
        <v>799</v>
      </c>
      <c r="C12" s="273" t="s">
        <v>799</v>
      </c>
      <c r="D12" s="274">
        <v>46404</v>
      </c>
      <c r="E12" s="275">
        <f t="shared" si="0"/>
        <v>0.062456929968128176</v>
      </c>
      <c r="F12" s="273" t="s">
        <v>799</v>
      </c>
      <c r="H12">
        <v>6751.5</v>
      </c>
      <c r="I12" s="268">
        <f>+H12/$I$10</f>
        <v>46.403656483040656</v>
      </c>
      <c r="J12">
        <v>6917.6</v>
      </c>
      <c r="K12" s="127">
        <f>+J12/$J$23</f>
        <v>0.1345179688517864</v>
      </c>
    </row>
    <row r="13" spans="1:11" ht="25.5">
      <c r="A13" s="272" t="s">
        <v>397</v>
      </c>
      <c r="B13" s="274">
        <v>788610</v>
      </c>
      <c r="C13" s="275">
        <f aca="true" t="shared" si="1" ref="C13:C23">+B13/$B$25</f>
        <v>0.5508514829354159</v>
      </c>
      <c r="D13" s="274">
        <v>507462</v>
      </c>
      <c r="E13" s="275">
        <f t="shared" si="0"/>
        <v>0.6830126410543543</v>
      </c>
      <c r="F13" s="275">
        <f aca="true" t="shared" si="2" ref="F13:F22">+(B13/D13)-1</f>
        <v>0.5540276907433463</v>
      </c>
      <c r="H13">
        <v>73833.2</v>
      </c>
      <c r="I13" s="268">
        <f>+H13/$I$10</f>
        <v>507.46211210007215</v>
      </c>
      <c r="J13">
        <v>41728.7</v>
      </c>
      <c r="K13" s="127">
        <f>+J13/$J$23</f>
        <v>0.8114461615047904</v>
      </c>
    </row>
    <row r="14" spans="1:11" ht="38.25">
      <c r="A14" s="272" t="s">
        <v>398</v>
      </c>
      <c r="B14" s="274">
        <v>7320</v>
      </c>
      <c r="C14" s="275">
        <f t="shared" si="1"/>
        <v>0.0051130886687808215</v>
      </c>
      <c r="D14" s="274">
        <v>1667</v>
      </c>
      <c r="E14" s="275">
        <f t="shared" si="0"/>
        <v>0.0022436794728228097</v>
      </c>
      <c r="F14" s="275">
        <f t="shared" si="2"/>
        <v>3.391121775644871</v>
      </c>
      <c r="H14">
        <v>242.6</v>
      </c>
      <c r="I14" s="268">
        <f>+H14/$I$10</f>
        <v>1.6674112512457473</v>
      </c>
      <c r="J14">
        <v>181.4</v>
      </c>
      <c r="K14" s="127">
        <f>+J14/$J$23</f>
        <v>0.0035274603257942137</v>
      </c>
    </row>
    <row r="15" spans="1:11" s="269" customFormat="1" ht="15">
      <c r="A15" s="2" t="s">
        <v>1094</v>
      </c>
      <c r="B15" s="255">
        <f>SUM(B16:B17)</f>
        <v>323980</v>
      </c>
      <c r="C15" s="156">
        <f t="shared" si="1"/>
        <v>0.22630306925022003</v>
      </c>
      <c r="D15" s="255">
        <f>SUM(D16:D17)</f>
        <v>118337</v>
      </c>
      <c r="E15" s="156">
        <f t="shared" si="0"/>
        <v>0.1592743238004996</v>
      </c>
      <c r="F15" s="156">
        <f t="shared" si="2"/>
        <v>1.737774322485782</v>
      </c>
      <c r="I15" s="270"/>
      <c r="K15" s="271">
        <f>SUM(K16:K17)</f>
        <v>0.021011140474204233</v>
      </c>
    </row>
    <row r="16" spans="1:11" ht="25.5">
      <c r="A16" s="272" t="s">
        <v>399</v>
      </c>
      <c r="B16" s="274">
        <v>50690</v>
      </c>
      <c r="C16" s="275">
        <f t="shared" si="1"/>
        <v>0.03540744052192621</v>
      </c>
      <c r="D16" s="274">
        <v>18093</v>
      </c>
      <c r="E16" s="275">
        <f t="shared" si="0"/>
        <v>0.024352065208028253</v>
      </c>
      <c r="F16" s="275">
        <f t="shared" si="2"/>
        <v>1.8016359918200409</v>
      </c>
      <c r="H16">
        <v>2632.5</v>
      </c>
      <c r="I16" s="268">
        <f>+H16/$I$10</f>
        <v>18.09340527165882</v>
      </c>
      <c r="J16">
        <v>425.3</v>
      </c>
      <c r="K16" s="127">
        <f>+J16/$J$23</f>
        <v>0.008270280466153688</v>
      </c>
    </row>
    <row r="17" spans="1:11" ht="25.5">
      <c r="A17" s="272" t="s">
        <v>400</v>
      </c>
      <c r="B17" s="274">
        <v>273290</v>
      </c>
      <c r="C17" s="275">
        <f t="shared" si="1"/>
        <v>0.19089562872829383</v>
      </c>
      <c r="D17" s="274">
        <v>100244</v>
      </c>
      <c r="E17" s="275">
        <f t="shared" si="0"/>
        <v>0.13492225859247137</v>
      </c>
      <c r="F17" s="275">
        <f t="shared" si="2"/>
        <v>1.7262479549898249</v>
      </c>
      <c r="H17">
        <v>14585</v>
      </c>
      <c r="I17" s="268">
        <f>+H17/$I$10</f>
        <v>100.24399463899103</v>
      </c>
      <c r="J17">
        <v>655.2</v>
      </c>
      <c r="K17" s="127">
        <f>+J17/$J$23</f>
        <v>0.012740860008050544</v>
      </c>
    </row>
    <row r="18" spans="1:11" s="269" customFormat="1" ht="15">
      <c r="A18" s="2" t="s">
        <v>1099</v>
      </c>
      <c r="B18" s="255">
        <f>SUM(B19:B20)</f>
        <v>158940</v>
      </c>
      <c r="C18" s="156">
        <f t="shared" si="1"/>
        <v>0.111021081013118</v>
      </c>
      <c r="D18" s="255">
        <f>SUM(D19:D20)</f>
        <v>50029</v>
      </c>
      <c r="E18" s="156">
        <f t="shared" si="0"/>
        <v>0.06733595701610819</v>
      </c>
      <c r="F18" s="156">
        <f t="shared" si="2"/>
        <v>2.1769573647284575</v>
      </c>
      <c r="I18" s="270"/>
      <c r="K18" s="271">
        <f>SUM(K19:K20)</f>
        <v>0.024736947521735497</v>
      </c>
    </row>
    <row r="19" spans="1:11" ht="25.5" customHeight="1">
      <c r="A19" s="272" t="s">
        <v>401</v>
      </c>
      <c r="B19" s="274">
        <v>33560</v>
      </c>
      <c r="C19" s="275">
        <f t="shared" si="1"/>
        <v>0.02344197482572191</v>
      </c>
      <c r="D19" s="274">
        <v>30562</v>
      </c>
      <c r="E19" s="275">
        <f t="shared" si="0"/>
        <v>0.04113457231458351</v>
      </c>
      <c r="F19" s="275">
        <f t="shared" si="2"/>
        <v>0.09809567436686084</v>
      </c>
      <c r="H19">
        <v>4446.6</v>
      </c>
      <c r="I19" s="268">
        <f>+H19/$I$10</f>
        <v>30.5618749785216</v>
      </c>
      <c r="J19">
        <v>354.1</v>
      </c>
      <c r="K19" s="127">
        <f>+J19/$J$23</f>
        <v>0.006885742565400943</v>
      </c>
    </row>
    <row r="20" spans="1:11" ht="25.5" customHeight="1">
      <c r="A20" s="272" t="s">
        <v>402</v>
      </c>
      <c r="B20" s="274">
        <v>125380</v>
      </c>
      <c r="C20" s="275">
        <f t="shared" si="1"/>
        <v>0.0875791061873961</v>
      </c>
      <c r="D20" s="274">
        <v>19467</v>
      </c>
      <c r="E20" s="275">
        <f t="shared" si="0"/>
        <v>0.02620138470152468</v>
      </c>
      <c r="F20" s="275">
        <f t="shared" si="2"/>
        <v>5.440643139672266</v>
      </c>
      <c r="H20">
        <v>2832.3</v>
      </c>
      <c r="I20" s="268">
        <f>+H20/$I$10</f>
        <v>19.466648338430875</v>
      </c>
      <c r="J20">
        <v>918</v>
      </c>
      <c r="K20" s="127">
        <f>+J20/$J$23</f>
        <v>0.017851204956334552</v>
      </c>
    </row>
    <row r="21" spans="1:11" s="269" customFormat="1" ht="15">
      <c r="A21" s="2" t="s">
        <v>1107</v>
      </c>
      <c r="B21" s="255">
        <f>SUM(B22)</f>
        <v>79910</v>
      </c>
      <c r="C21" s="156">
        <f t="shared" si="1"/>
        <v>0.055817884634190636</v>
      </c>
      <c r="D21" s="255">
        <f>SUM(D22)</f>
        <v>19077</v>
      </c>
      <c r="E21" s="156">
        <f t="shared" si="0"/>
        <v>0.025676468688086828</v>
      </c>
      <c r="F21" s="156">
        <f t="shared" si="2"/>
        <v>3.188813754783247</v>
      </c>
      <c r="I21" s="270"/>
      <c r="K21" s="271"/>
    </row>
    <row r="22" spans="1:11" ht="25.5">
      <c r="A22" s="272" t="s">
        <v>403</v>
      </c>
      <c r="B22" s="274">
        <v>79910</v>
      </c>
      <c r="C22" s="275">
        <f t="shared" si="1"/>
        <v>0.055817884634190636</v>
      </c>
      <c r="D22" s="274">
        <v>19077</v>
      </c>
      <c r="E22" s="275">
        <f t="shared" si="0"/>
        <v>0.025676468688086828</v>
      </c>
      <c r="F22" s="275">
        <f t="shared" si="2"/>
        <v>3.188813754783247</v>
      </c>
      <c r="H22">
        <v>2775.6</v>
      </c>
      <c r="I22" s="268">
        <f>+H22/$I$10</f>
        <v>19.076944224887452</v>
      </c>
      <c r="J22">
        <v>244.8</v>
      </c>
      <c r="K22" s="127">
        <f>+J22/$J$23</f>
        <v>0.004760321321689214</v>
      </c>
    </row>
    <row r="23" spans="1:11" ht="15">
      <c r="A23" s="2" t="s">
        <v>1111</v>
      </c>
      <c r="B23" s="255">
        <v>72860</v>
      </c>
      <c r="C23" s="156">
        <f t="shared" si="1"/>
        <v>0.05089339349827468</v>
      </c>
      <c r="D23" s="276" t="s">
        <v>799</v>
      </c>
      <c r="E23" s="276" t="s">
        <v>912</v>
      </c>
      <c r="F23" s="276" t="s">
        <v>912</v>
      </c>
      <c r="H23">
        <f>SUM(H12:H22)</f>
        <v>108099.30000000002</v>
      </c>
      <c r="I23" s="268">
        <f>+H23/$I$10</f>
        <v>742.9760472868485</v>
      </c>
      <c r="J23">
        <f>SUM(J12:J22)</f>
        <v>51425.1</v>
      </c>
      <c r="K23" s="127">
        <f>+J23/$J$23</f>
        <v>1</v>
      </c>
    </row>
    <row r="24" spans="1:11" ht="14.25">
      <c r="A24" s="2"/>
      <c r="B24" s="255"/>
      <c r="C24" s="156"/>
      <c r="D24" s="255"/>
      <c r="E24" s="156"/>
      <c r="F24" s="156"/>
      <c r="K24" s="127"/>
    </row>
    <row r="25" spans="1:6" ht="14.25">
      <c r="A25" s="237" t="s">
        <v>674</v>
      </c>
      <c r="B25" s="238">
        <f>+B11+B15+B18+B21+B23</f>
        <v>1431620</v>
      </c>
      <c r="C25" s="239">
        <f>+C11+C15+C18+C21+C23</f>
        <v>1</v>
      </c>
      <c r="D25" s="238">
        <f>+D11+D15+D18+D21</f>
        <v>742976</v>
      </c>
      <c r="E25" s="239">
        <f>+E11+E15+E18+E21</f>
        <v>0.9999999999999999</v>
      </c>
      <c r="F25" s="240">
        <f>+(B25/D25)-1</f>
        <v>0.9268724696356276</v>
      </c>
    </row>
    <row r="27" spans="1:6" ht="13.5" customHeight="1">
      <c r="A27" s="560" t="s">
        <v>625</v>
      </c>
      <c r="B27" s="555"/>
      <c r="C27" s="555"/>
      <c r="D27" s="555"/>
      <c r="E27" s="555"/>
      <c r="F27" s="555"/>
    </row>
    <row r="28" spans="1:6" ht="12.75">
      <c r="A28" s="560" t="s">
        <v>404</v>
      </c>
      <c r="B28" s="555"/>
      <c r="C28" s="555"/>
      <c r="D28" s="555"/>
      <c r="E28" s="555"/>
      <c r="F28" s="555"/>
    </row>
    <row r="31" spans="1:2" ht="12.75">
      <c r="A31" t="s">
        <v>1085</v>
      </c>
      <c r="B31" s="127">
        <f>+C11</f>
        <v>0.5559645716041967</v>
      </c>
    </row>
    <row r="32" spans="1:2" ht="12.75">
      <c r="A32" t="s">
        <v>1086</v>
      </c>
      <c r="B32" s="127">
        <f>+C15</f>
        <v>0.22630306925022003</v>
      </c>
    </row>
    <row r="33" spans="1:2" ht="12.75">
      <c r="A33" t="s">
        <v>1087</v>
      </c>
      <c r="B33" s="127">
        <f>+C18</f>
        <v>0.111021081013118</v>
      </c>
    </row>
    <row r="34" spans="1:2" ht="12.75">
      <c r="A34" t="s">
        <v>1088</v>
      </c>
      <c r="B34" s="127">
        <f>+C21</f>
        <v>0.055817884634190636</v>
      </c>
    </row>
    <row r="35" spans="1:2" ht="12.75">
      <c r="A35" t="s">
        <v>1089</v>
      </c>
      <c r="B35" s="127">
        <f>+C23</f>
        <v>0.05089339349827468</v>
      </c>
    </row>
  </sheetData>
  <mergeCells count="5">
    <mergeCell ref="A28:F28"/>
    <mergeCell ref="A4:F4"/>
    <mergeCell ref="A5:F5"/>
    <mergeCell ref="A6:F6"/>
    <mergeCell ref="A27:F27"/>
  </mergeCells>
  <printOptions horizontalCentered="1"/>
  <pageMargins left="0.75" right="0.75" top="1" bottom="1" header="0" footer="0"/>
  <pageSetup horizontalDpi="300" verticalDpi="300" orientation="portrait" scale="90" r:id="rId2"/>
  <headerFooter alignWithMargins="0">
    <oddFooter>&amp;C71</oddFooter>
  </headerFooter>
  <drawing r:id="rId1"/>
</worksheet>
</file>

<file path=xl/worksheets/sheet58.xml><?xml version="1.0" encoding="utf-8"?>
<worksheet xmlns="http://schemas.openxmlformats.org/spreadsheetml/2006/main" xmlns:r="http://schemas.openxmlformats.org/officeDocument/2006/relationships">
  <dimension ref="A1:H43"/>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 min="6" max="6" width="13.00390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699</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979</v>
      </c>
      <c r="C10" s="233" t="s">
        <v>665</v>
      </c>
      <c r="D10" s="233" t="s">
        <v>921</v>
      </c>
      <c r="E10" s="233" t="s">
        <v>665</v>
      </c>
      <c r="F10" s="233" t="s">
        <v>883</v>
      </c>
    </row>
    <row r="11" spans="1:6" ht="15">
      <c r="A11" s="2" t="s">
        <v>1090</v>
      </c>
      <c r="B11" s="155">
        <f>SUM(B12:B20)</f>
        <v>25845584.396091796</v>
      </c>
      <c r="C11" s="156">
        <f aca="true" t="shared" si="0" ref="C11:C27">+B11/$B$28</f>
        <v>0.814081963995399</v>
      </c>
      <c r="D11" s="155">
        <f>SUM(D12:D20)</f>
        <v>23813903</v>
      </c>
      <c r="E11" s="156">
        <f>SUM(E12:E20)</f>
        <v>0.8772492807413503</v>
      </c>
      <c r="F11" s="156">
        <f aca="true" t="shared" si="1" ref="F11:F28">+(B11-D11)/D11</f>
        <v>0.08531492700259158</v>
      </c>
    </row>
    <row r="12" spans="1:6" ht="15">
      <c r="A12" s="234" t="s">
        <v>1138</v>
      </c>
      <c r="B12" s="105">
        <v>1460247.7934189453</v>
      </c>
      <c r="C12" s="235">
        <f t="shared" si="0"/>
        <v>0.04599475768735953</v>
      </c>
      <c r="D12" s="105">
        <v>1163352</v>
      </c>
      <c r="E12" s="235">
        <f aca="true" t="shared" si="2" ref="E12:E20">+D12/$D$28</f>
        <v>0.04285520543394384</v>
      </c>
      <c r="F12" s="235">
        <f t="shared" si="1"/>
        <v>0.25520718872615106</v>
      </c>
    </row>
    <row r="13" spans="1:6" ht="15">
      <c r="A13" s="234" t="s">
        <v>1139</v>
      </c>
      <c r="B13" s="105">
        <v>15631598.687367188</v>
      </c>
      <c r="C13" s="235">
        <f t="shared" si="0"/>
        <v>0.49236273263467145</v>
      </c>
      <c r="D13" s="105">
        <v>15685684</v>
      </c>
      <c r="E13" s="235">
        <f t="shared" si="2"/>
        <v>0.5778244333545874</v>
      </c>
      <c r="F13" s="235">
        <f t="shared" si="1"/>
        <v>-0.003448068482879815</v>
      </c>
    </row>
    <row r="14" spans="1:6" ht="15">
      <c r="A14" s="234" t="s">
        <v>1140</v>
      </c>
      <c r="B14" s="105">
        <v>2945423.5878466796</v>
      </c>
      <c r="C14" s="235">
        <f t="shared" si="0"/>
        <v>0.09277469537717947</v>
      </c>
      <c r="D14" s="105">
        <v>2461408</v>
      </c>
      <c r="E14" s="235">
        <f t="shared" si="2"/>
        <v>0.09067259565183439</v>
      </c>
      <c r="F14" s="235">
        <f t="shared" si="1"/>
        <v>0.1966417545757061</v>
      </c>
    </row>
    <row r="15" spans="1:6" ht="15">
      <c r="A15" s="234" t="s">
        <v>1141</v>
      </c>
      <c r="B15" s="105">
        <v>231680.25406347655</v>
      </c>
      <c r="C15" s="235">
        <f t="shared" si="0"/>
        <v>0.007297444443758366</v>
      </c>
      <c r="D15" s="105">
        <v>497275</v>
      </c>
      <c r="E15" s="235">
        <f t="shared" si="2"/>
        <v>0.01831846447349076</v>
      </c>
      <c r="F15" s="235">
        <f t="shared" si="1"/>
        <v>-0.5341003387190657</v>
      </c>
    </row>
    <row r="16" spans="1:6" ht="15">
      <c r="A16" s="234" t="s">
        <v>1149</v>
      </c>
      <c r="B16" s="277">
        <v>0</v>
      </c>
      <c r="C16" s="235">
        <f t="shared" si="0"/>
        <v>0</v>
      </c>
      <c r="D16" s="278">
        <v>13818</v>
      </c>
      <c r="E16" s="235">
        <f t="shared" si="2"/>
        <v>0.0005090232609616316</v>
      </c>
      <c r="F16" s="235">
        <f t="shared" si="1"/>
        <v>-1</v>
      </c>
    </row>
    <row r="17" spans="1:6" ht="15">
      <c r="A17" s="234" t="s">
        <v>1150</v>
      </c>
      <c r="B17" s="105">
        <v>289034.41957714845</v>
      </c>
      <c r="C17" s="235">
        <f t="shared" si="0"/>
        <v>0.00910398094876181</v>
      </c>
      <c r="D17" s="105">
        <v>215269</v>
      </c>
      <c r="E17" s="235">
        <f t="shared" si="2"/>
        <v>0.007930013631780971</v>
      </c>
      <c r="F17" s="235">
        <f t="shared" si="1"/>
        <v>0.3426662435239094</v>
      </c>
    </row>
    <row r="18" spans="1:8" ht="15">
      <c r="A18" s="234" t="s">
        <v>1151</v>
      </c>
      <c r="B18" s="105">
        <v>2822206.2099453127</v>
      </c>
      <c r="C18" s="235">
        <f t="shared" si="0"/>
        <v>0.08889360515058448</v>
      </c>
      <c r="D18" s="105">
        <v>3205337</v>
      </c>
      <c r="E18" s="235">
        <f t="shared" si="2"/>
        <v>0.1180772247952651</v>
      </c>
      <c r="F18" s="235">
        <f t="shared" si="1"/>
        <v>-0.11952901989859016</v>
      </c>
      <c r="H18" t="s">
        <v>525</v>
      </c>
    </row>
    <row r="19" spans="1:6" ht="15">
      <c r="A19" s="234" t="s">
        <v>524</v>
      </c>
      <c r="B19" s="105">
        <v>2010206.851946289</v>
      </c>
      <c r="C19" s="235">
        <f t="shared" si="0"/>
        <v>0.063317320165409</v>
      </c>
      <c r="D19" s="279">
        <v>265949</v>
      </c>
      <c r="E19" s="235">
        <f t="shared" si="2"/>
        <v>0.009796947983028293</v>
      </c>
      <c r="F19" s="235">
        <f t="shared" si="1"/>
        <v>6.558617825020169</v>
      </c>
    </row>
    <row r="20" spans="1:6" ht="15">
      <c r="A20" s="234" t="s">
        <v>1154</v>
      </c>
      <c r="B20" s="280">
        <v>455186.59192675777</v>
      </c>
      <c r="C20" s="235">
        <f t="shared" si="0"/>
        <v>0.01433742758767493</v>
      </c>
      <c r="D20" s="280">
        <v>305811</v>
      </c>
      <c r="E20" s="235">
        <f t="shared" si="2"/>
        <v>0.011265372156458063</v>
      </c>
      <c r="F20" s="235">
        <f t="shared" si="1"/>
        <v>0.48845722333976793</v>
      </c>
    </row>
    <row r="21" spans="1:6" ht="15">
      <c r="A21" s="2" t="s">
        <v>1094</v>
      </c>
      <c r="B21" s="155">
        <f>SUM(B22:B24)</f>
        <v>4847985.7009140635</v>
      </c>
      <c r="C21" s="156">
        <f t="shared" si="0"/>
        <v>0.15270143094224328</v>
      </c>
      <c r="D21" s="281">
        <f>SUM(D22:D24)</f>
        <v>2331679</v>
      </c>
      <c r="E21" s="156">
        <f>SUM(E22:E24)</f>
        <v>0.08589367839743495</v>
      </c>
      <c r="F21" s="156">
        <f t="shared" si="1"/>
        <v>1.0791822977837273</v>
      </c>
    </row>
    <row r="22" spans="1:6" ht="15">
      <c r="A22" s="234" t="s">
        <v>405</v>
      </c>
      <c r="B22" s="105">
        <v>1120922.580336914</v>
      </c>
      <c r="C22" s="235">
        <f t="shared" si="0"/>
        <v>0.03530672170931647</v>
      </c>
      <c r="D22" s="105">
        <v>880459</v>
      </c>
      <c r="E22" s="235">
        <f>+D22/$D$28</f>
        <v>0.03243407955731779</v>
      </c>
      <c r="F22" s="235">
        <f t="shared" si="1"/>
        <v>0.2731116160285873</v>
      </c>
    </row>
    <row r="23" spans="1:6" ht="15">
      <c r="A23" s="234" t="s">
        <v>406</v>
      </c>
      <c r="B23" s="105">
        <v>3720004.5259033213</v>
      </c>
      <c r="C23" s="235">
        <f t="shared" si="0"/>
        <v>0.1171723782332847</v>
      </c>
      <c r="D23" s="105">
        <v>1451100</v>
      </c>
      <c r="E23" s="235">
        <f>+D23/$D$28</f>
        <v>0.0534551783167914</v>
      </c>
      <c r="F23" s="235">
        <f t="shared" si="1"/>
        <v>1.5635755812165402</v>
      </c>
    </row>
    <row r="24" spans="1:6" ht="15">
      <c r="A24" s="234" t="s">
        <v>407</v>
      </c>
      <c r="B24" s="105">
        <v>7058.594673828124</v>
      </c>
      <c r="C24" s="235">
        <f t="shared" si="0"/>
        <v>0.0002223309996421043</v>
      </c>
      <c r="D24" s="105">
        <v>120</v>
      </c>
      <c r="E24" s="235">
        <f>+D24/$D$28</f>
        <v>4.420523325763192E-06</v>
      </c>
      <c r="F24" s="235">
        <f t="shared" si="1"/>
        <v>57.82162228190103</v>
      </c>
    </row>
    <row r="25" spans="1:6" ht="15">
      <c r="A25" s="2" t="s">
        <v>1099</v>
      </c>
      <c r="B25" s="155">
        <f>SUM(B26:B26)</f>
        <v>306164.2235634766</v>
      </c>
      <c r="C25" s="156">
        <f t="shared" si="0"/>
        <v>0.009643534021284128</v>
      </c>
      <c r="D25" s="155">
        <f>SUM(D26:D26)</f>
        <v>364867</v>
      </c>
      <c r="E25" s="156">
        <f>SUM(E26:E26)</f>
        <v>0.013440859035843656</v>
      </c>
      <c r="F25" s="156">
        <f t="shared" si="1"/>
        <v>-0.16088814948055982</v>
      </c>
    </row>
    <row r="26" spans="1:6" ht="15">
      <c r="A26" s="234" t="s">
        <v>1155</v>
      </c>
      <c r="B26" s="105">
        <v>306164.2235634766</v>
      </c>
      <c r="C26" s="235">
        <f t="shared" si="0"/>
        <v>0.009643534021284128</v>
      </c>
      <c r="D26" s="105">
        <v>364867</v>
      </c>
      <c r="E26" s="235">
        <f>+D26/$D$28</f>
        <v>0.013440859035843656</v>
      </c>
      <c r="F26" s="235">
        <f t="shared" si="1"/>
        <v>-0.16088814948055982</v>
      </c>
    </row>
    <row r="27" spans="1:6" ht="14.25">
      <c r="A27" s="247" t="s">
        <v>1142</v>
      </c>
      <c r="B27" s="155">
        <v>748401.0505244134</v>
      </c>
      <c r="C27" s="156">
        <f t="shared" si="0"/>
        <v>0.023573071041073562</v>
      </c>
      <c r="D27" s="155">
        <v>635658.1816157202</v>
      </c>
      <c r="E27" s="156">
        <f>+D27/$D$28</f>
        <v>0.023416181825370887</v>
      </c>
      <c r="F27" s="156">
        <f t="shared" si="1"/>
        <v>0.17736398613185883</v>
      </c>
    </row>
    <row r="28" spans="1:6" ht="14.25">
      <c r="A28" s="237" t="s">
        <v>674</v>
      </c>
      <c r="B28" s="238">
        <f>+B11+B21+B25+B27</f>
        <v>31748135.37109375</v>
      </c>
      <c r="C28" s="240">
        <f>+C11+C21+C25+C27</f>
        <v>1</v>
      </c>
      <c r="D28" s="238">
        <f>+D11+D21+D25+D27</f>
        <v>27146107.18161572</v>
      </c>
      <c r="E28" s="240">
        <f>+E11+E21+E25+E27</f>
        <v>0.9999999999999998</v>
      </c>
      <c r="F28" s="240">
        <f t="shared" si="1"/>
        <v>0.1695281079783948</v>
      </c>
    </row>
    <row r="29" spans="1:6" ht="6.75" customHeight="1">
      <c r="A29" s="5"/>
      <c r="C29" s="5"/>
      <c r="E29" s="5"/>
      <c r="F29" s="5"/>
    </row>
    <row r="30" spans="1:6" ht="12.75">
      <c r="A30" s="69" t="s">
        <v>408</v>
      </c>
      <c r="B30" s="47"/>
      <c r="C30" s="47"/>
      <c r="D30" s="47"/>
      <c r="E30" s="47"/>
      <c r="F30" s="47"/>
    </row>
    <row r="31" spans="1:6" ht="12.75">
      <c r="A31" s="560" t="s">
        <v>872</v>
      </c>
      <c r="B31" s="560"/>
      <c r="C31" s="560"/>
      <c r="D31" s="560"/>
      <c r="E31" s="560"/>
      <c r="F31" s="560"/>
    </row>
    <row r="32" spans="1:6" ht="12.75">
      <c r="A32" s="595" t="s">
        <v>409</v>
      </c>
      <c r="B32" s="595"/>
      <c r="C32" s="595"/>
      <c r="D32" s="595"/>
      <c r="E32" s="595"/>
      <c r="F32" s="595"/>
    </row>
    <row r="33" spans="1:6" ht="12.75" customHeight="1">
      <c r="A33" s="519" t="s">
        <v>410</v>
      </c>
      <c r="B33" s="520"/>
      <c r="C33" s="520"/>
      <c r="D33" s="520"/>
      <c r="E33" s="520"/>
      <c r="F33" s="520"/>
    </row>
    <row r="34" spans="1:6" ht="26.25" customHeight="1">
      <c r="A34" s="519" t="s">
        <v>411</v>
      </c>
      <c r="B34" s="520"/>
      <c r="C34" s="520"/>
      <c r="D34" s="520"/>
      <c r="E34" s="520"/>
      <c r="F34" s="520"/>
    </row>
    <row r="35" spans="1:6" ht="12.75">
      <c r="A35" s="596" t="s">
        <v>412</v>
      </c>
      <c r="B35" s="596"/>
      <c r="C35" s="596"/>
      <c r="D35" s="596"/>
      <c r="E35" s="596"/>
      <c r="F35" s="596"/>
    </row>
    <row r="36" spans="1:6" ht="12.75">
      <c r="A36" s="596" t="s">
        <v>413</v>
      </c>
      <c r="B36" s="596"/>
      <c r="C36" s="596"/>
      <c r="D36" s="596"/>
      <c r="E36" s="596"/>
      <c r="F36" s="596"/>
    </row>
    <row r="37" ht="12.75">
      <c r="B37" s="127" t="e">
        <f>SUM(B38:B44)</f>
        <v>#REF!</v>
      </c>
    </row>
    <row r="38" spans="1:2" ht="12.75">
      <c r="A38" t="s">
        <v>1085</v>
      </c>
      <c r="B38" s="127">
        <f>+C11</f>
        <v>0.814081963995399</v>
      </c>
    </row>
    <row r="39" spans="1:2" ht="12.75">
      <c r="A39" t="s">
        <v>1086</v>
      </c>
      <c r="B39" s="127">
        <f>+C21</f>
        <v>0.15270143094224328</v>
      </c>
    </row>
    <row r="40" spans="1:2" ht="12.75">
      <c r="A40" t="s">
        <v>1087</v>
      </c>
      <c r="B40" s="127">
        <f>+C25</f>
        <v>0.009643534021284128</v>
      </c>
    </row>
    <row r="41" spans="1:2" ht="12.75">
      <c r="A41" t="s">
        <v>1142</v>
      </c>
      <c r="B41" s="127">
        <f>+C27</f>
        <v>0.023573071041073562</v>
      </c>
    </row>
    <row r="42" spans="1:2" ht="12.75">
      <c r="A42" t="s">
        <v>1089</v>
      </c>
      <c r="B42" s="127" t="e">
        <f>#REF!</f>
        <v>#REF!</v>
      </c>
    </row>
    <row r="43" ht="12.75">
      <c r="B43" s="127"/>
    </row>
  </sheetData>
  <mergeCells count="9">
    <mergeCell ref="A35:F35"/>
    <mergeCell ref="A31:F31"/>
    <mergeCell ref="A36:F36"/>
    <mergeCell ref="A33:F33"/>
    <mergeCell ref="A34:F34"/>
    <mergeCell ref="A4:F4"/>
    <mergeCell ref="A5:F5"/>
    <mergeCell ref="A6:F6"/>
    <mergeCell ref="A32:F32"/>
  </mergeCells>
  <printOptions horizontalCentered="1"/>
  <pageMargins left="0.75" right="0.75" top="1" bottom="1" header="0" footer="0"/>
  <pageSetup horizontalDpi="300" verticalDpi="300" orientation="portrait" scale="90" r:id="rId2"/>
  <headerFooter alignWithMargins="0">
    <oddFooter>&amp;C72</oddFooter>
  </headerFooter>
  <drawing r:id="rId1"/>
</worksheet>
</file>

<file path=xl/worksheets/sheet59.xml><?xml version="1.0" encoding="utf-8"?>
<worksheet xmlns="http://schemas.openxmlformats.org/spreadsheetml/2006/main" xmlns:r="http://schemas.openxmlformats.org/officeDocument/2006/relationships">
  <dimension ref="A1:F24"/>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801</v>
      </c>
      <c r="B4" s="580"/>
      <c r="C4" s="580"/>
      <c r="D4" s="580"/>
      <c r="E4" s="580"/>
      <c r="F4" s="581"/>
    </row>
    <row r="5" spans="1:6" ht="15.75">
      <c r="A5" s="525" t="s">
        <v>1169</v>
      </c>
      <c r="B5" s="525"/>
      <c r="C5" s="525"/>
      <c r="D5" s="525"/>
      <c r="E5" s="525"/>
      <c r="F5" s="525"/>
    </row>
    <row r="6" spans="1:6" ht="15.75">
      <c r="A6" s="526" t="s">
        <v>1170</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48" t="s">
        <v>921</v>
      </c>
      <c r="C10" s="233" t="s">
        <v>665</v>
      </c>
      <c r="D10" s="248" t="s">
        <v>797</v>
      </c>
      <c r="E10" s="233" t="s">
        <v>665</v>
      </c>
      <c r="F10" s="233" t="s">
        <v>883</v>
      </c>
    </row>
    <row r="11" spans="1:6" ht="15">
      <c r="A11" s="2" t="s">
        <v>1090</v>
      </c>
      <c r="B11" s="214">
        <v>378004</v>
      </c>
      <c r="C11" s="282">
        <f>+B11/$B$15</f>
        <v>0.630999439117545</v>
      </c>
      <c r="D11" s="214">
        <v>367338</v>
      </c>
      <c r="E11" s="106">
        <f>+D11/$D$15</f>
        <v>0.6972993597202739</v>
      </c>
      <c r="F11" s="106">
        <f>+(B11-D11)/D11</f>
        <v>0.029035928763155458</v>
      </c>
    </row>
    <row r="12" spans="1:6" ht="15">
      <c r="A12" s="2" t="s">
        <v>1094</v>
      </c>
      <c r="B12" s="214">
        <v>5991</v>
      </c>
      <c r="C12" s="282">
        <f>+B12/$B$15</f>
        <v>0.010000734488929248</v>
      </c>
      <c r="D12" s="214">
        <v>3003</v>
      </c>
      <c r="E12" s="106">
        <f>+D12/$D$15</f>
        <v>0.005700444759975778</v>
      </c>
      <c r="F12" s="106">
        <f>+(B12-D12)/D12</f>
        <v>0.995004995004995</v>
      </c>
    </row>
    <row r="13" spans="1:6" ht="15">
      <c r="A13" s="2" t="s">
        <v>414</v>
      </c>
      <c r="B13" s="214">
        <v>215061</v>
      </c>
      <c r="C13" s="282">
        <f>+B13/$B$15</f>
        <v>0.3589998263935258</v>
      </c>
      <c r="D13" s="214">
        <v>156460</v>
      </c>
      <c r="E13" s="106">
        <f>+D13/$D$15</f>
        <v>0.2970001955197503</v>
      </c>
      <c r="F13" s="106">
        <f>+(B13-D13)/D13</f>
        <v>0.3745430141889301</v>
      </c>
    </row>
    <row r="14" spans="1:6" ht="14.25">
      <c r="A14" s="2"/>
      <c r="B14" s="255"/>
      <c r="C14" s="241"/>
      <c r="D14" s="255"/>
      <c r="E14" s="156"/>
      <c r="F14" s="156"/>
    </row>
    <row r="15" spans="1:6" ht="14.25">
      <c r="A15" s="237" t="s">
        <v>674</v>
      </c>
      <c r="B15" s="121">
        <f>SUM(B11:B13)</f>
        <v>599056</v>
      </c>
      <c r="C15" s="239">
        <f>SUM(C11:C14)</f>
        <v>1</v>
      </c>
      <c r="D15" s="121">
        <f>SUM(D11:D13)</f>
        <v>526801</v>
      </c>
      <c r="E15" s="283">
        <f>SUM(E11:E13)</f>
        <v>1</v>
      </c>
      <c r="F15" s="283">
        <f>+(B15-D15)/D15</f>
        <v>0.1371580539900266</v>
      </c>
    </row>
    <row r="16" spans="1:6" ht="15">
      <c r="A16" s="5"/>
      <c r="B16" s="5"/>
      <c r="C16" s="5"/>
      <c r="D16" s="5"/>
      <c r="E16" s="5"/>
      <c r="F16" s="5"/>
    </row>
    <row r="17" spans="1:6" ht="12.75">
      <c r="A17" s="69" t="s">
        <v>415</v>
      </c>
      <c r="B17" s="47"/>
      <c r="C17" s="47"/>
      <c r="D17" s="47"/>
      <c r="E17" s="47"/>
      <c r="F17" s="47"/>
    </row>
    <row r="18" ht="12.75">
      <c r="A18" s="66"/>
    </row>
    <row r="19" ht="14.25">
      <c r="A19" s="243"/>
    </row>
    <row r="20" ht="14.25">
      <c r="A20" s="243"/>
    </row>
    <row r="21" spans="1:2" ht="12.75">
      <c r="A21" t="s">
        <v>1085</v>
      </c>
      <c r="B21" s="127">
        <f>C11</f>
        <v>0.630999439117545</v>
      </c>
    </row>
    <row r="22" spans="1:2" ht="12.75">
      <c r="A22" t="s">
        <v>1086</v>
      </c>
      <c r="B22" s="127">
        <f>C12</f>
        <v>0.010000734488929248</v>
      </c>
    </row>
    <row r="23" spans="1:2" ht="12.75">
      <c r="A23" t="s">
        <v>1087</v>
      </c>
      <c r="B23" s="127">
        <f>C13</f>
        <v>0.3589998263935258</v>
      </c>
    </row>
    <row r="24" ht="12.75">
      <c r="B24"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&amp;C73</oddFooter>
  </headerFooter>
  <drawing r:id="rId1"/>
</worksheet>
</file>

<file path=xl/worksheets/sheet6.xml><?xml version="1.0" encoding="utf-8"?>
<worksheet xmlns="http://schemas.openxmlformats.org/spreadsheetml/2006/main" xmlns:r="http://schemas.openxmlformats.org/officeDocument/2006/relationships">
  <dimension ref="A1:I50"/>
  <sheetViews>
    <sheetView workbookViewId="0" topLeftCell="A1">
      <selection activeCell="A5" sqref="A5:I5"/>
    </sheetView>
  </sheetViews>
  <sheetFormatPr defaultColWidth="11.421875" defaultRowHeight="12.75"/>
  <cols>
    <col min="1" max="1" width="17.57421875" style="0" customWidth="1"/>
    <col min="3" max="3" width="9.8515625" style="0" bestFit="1" customWidth="1"/>
    <col min="5" max="5" width="9.8515625" style="0" customWidth="1"/>
  </cols>
  <sheetData>
    <row r="1" spans="1:7" ht="14.25">
      <c r="A1" s="1" t="s">
        <v>658</v>
      </c>
      <c r="B1" s="2"/>
      <c r="C1" s="2"/>
      <c r="D1" s="2"/>
      <c r="E1" s="2"/>
      <c r="F1" s="4"/>
      <c r="G1" s="4"/>
    </row>
    <row r="2" spans="1:7" ht="14.25">
      <c r="A2" s="1" t="s">
        <v>659</v>
      </c>
      <c r="B2" s="2"/>
      <c r="C2" s="2"/>
      <c r="D2" s="2"/>
      <c r="E2" s="2"/>
      <c r="F2" s="4"/>
      <c r="G2" s="4"/>
    </row>
    <row r="3" spans="1:7" ht="14.25">
      <c r="A3" s="1"/>
      <c r="B3" s="2"/>
      <c r="C3" s="2"/>
      <c r="D3" s="2"/>
      <c r="E3" s="2"/>
      <c r="F3" s="4"/>
      <c r="G3" s="4"/>
    </row>
    <row r="4" spans="1:7" ht="13.5" thickBot="1">
      <c r="A4" s="4"/>
      <c r="B4" s="4"/>
      <c r="C4" s="4"/>
      <c r="D4" s="4"/>
      <c r="E4" s="4"/>
      <c r="F4" s="4"/>
      <c r="G4" s="4"/>
    </row>
    <row r="5" spans="1:9" ht="18">
      <c r="A5" s="522" t="s">
        <v>677</v>
      </c>
      <c r="B5" s="523"/>
      <c r="C5" s="523"/>
      <c r="D5" s="523"/>
      <c r="E5" s="523"/>
      <c r="F5" s="523"/>
      <c r="G5" s="523"/>
      <c r="H5" s="523"/>
      <c r="I5" s="524"/>
    </row>
    <row r="6" spans="1:9" ht="18.75" thickBot="1">
      <c r="A6" s="516" t="s">
        <v>905</v>
      </c>
      <c r="B6" s="517"/>
      <c r="C6" s="517"/>
      <c r="D6" s="517"/>
      <c r="E6" s="517"/>
      <c r="F6" s="517"/>
      <c r="G6" s="517"/>
      <c r="H6" s="517"/>
      <c r="I6" s="518"/>
    </row>
    <row r="7" spans="1:9" ht="15.75">
      <c r="A7" s="525" t="s">
        <v>977</v>
      </c>
      <c r="B7" s="525"/>
      <c r="C7" s="525"/>
      <c r="D7" s="525"/>
      <c r="E7" s="525"/>
      <c r="F7" s="525"/>
      <c r="G7" s="525"/>
      <c r="H7" s="525"/>
      <c r="I7" s="525"/>
    </row>
    <row r="8" spans="1:9" ht="15.75">
      <c r="A8" s="526" t="s">
        <v>978</v>
      </c>
      <c r="B8" s="526"/>
      <c r="C8" s="526"/>
      <c r="D8" s="526"/>
      <c r="E8" s="526"/>
      <c r="F8" s="526"/>
      <c r="G8" s="526"/>
      <c r="H8" s="526"/>
      <c r="I8" s="526"/>
    </row>
    <row r="9" spans="1:7" ht="15.75">
      <c r="A9" s="6"/>
      <c r="B9" s="5"/>
      <c r="C9" s="5"/>
      <c r="D9" s="5"/>
      <c r="E9" s="5"/>
      <c r="F9" s="5"/>
      <c r="G9" s="5"/>
    </row>
    <row r="10" spans="1:7" ht="15">
      <c r="A10" s="2"/>
      <c r="B10" s="5"/>
      <c r="C10" s="5"/>
      <c r="D10" s="5"/>
      <c r="E10" s="5"/>
      <c r="F10" s="114"/>
      <c r="G10" s="5"/>
    </row>
    <row r="11" spans="1:9" ht="15">
      <c r="A11" s="7" t="s">
        <v>661</v>
      </c>
      <c r="B11" s="527" t="s">
        <v>662</v>
      </c>
      <c r="C11" s="527"/>
      <c r="D11" s="527"/>
      <c r="E11" s="527"/>
      <c r="F11" s="527"/>
      <c r="G11" s="528" t="s">
        <v>663</v>
      </c>
      <c r="H11" s="514"/>
      <c r="I11" s="515"/>
    </row>
    <row r="12" spans="1:9" ht="15">
      <c r="A12" s="9" t="s">
        <v>664</v>
      </c>
      <c r="B12" s="10" t="s">
        <v>979</v>
      </c>
      <c r="C12" s="8" t="s">
        <v>665</v>
      </c>
      <c r="D12" s="8" t="s">
        <v>921</v>
      </c>
      <c r="E12" s="8" t="s">
        <v>665</v>
      </c>
      <c r="F12" s="8" t="s">
        <v>883</v>
      </c>
      <c r="G12" s="10" t="s">
        <v>979</v>
      </c>
      <c r="H12" s="8" t="s">
        <v>921</v>
      </c>
      <c r="I12" s="8" t="s">
        <v>883</v>
      </c>
    </row>
    <row r="13" spans="1:7" ht="15">
      <c r="A13" s="5"/>
      <c r="B13" s="11"/>
      <c r="C13" s="12"/>
      <c r="D13" s="11"/>
      <c r="E13" s="12"/>
      <c r="F13" s="11"/>
      <c r="G13" s="119"/>
    </row>
    <row r="14" spans="1:9" ht="15">
      <c r="A14" s="5" t="s">
        <v>678</v>
      </c>
      <c r="B14" s="11">
        <v>351336</v>
      </c>
      <c r="C14" s="46">
        <f>+B14/B17</f>
        <v>0.4617016159871951</v>
      </c>
      <c r="D14" s="119">
        <v>322264</v>
      </c>
      <c r="E14" s="12">
        <f>+D14/D17</f>
        <v>0.46597550571870616</v>
      </c>
      <c r="F14" s="46">
        <f>+(B14-D14)/D14</f>
        <v>0.09021175185562148</v>
      </c>
      <c r="G14" s="11">
        <v>325393</v>
      </c>
      <c r="H14" s="213">
        <v>297750</v>
      </c>
      <c r="I14" s="46">
        <f>+(G14-H14)/H14</f>
        <v>0.09283963056255248</v>
      </c>
    </row>
    <row r="15" spans="1:9" ht="15">
      <c r="A15" s="5" t="s">
        <v>679</v>
      </c>
      <c r="B15" s="11">
        <v>409623</v>
      </c>
      <c r="C15" s="46">
        <f>+B15/B17</f>
        <v>0.5382983840128049</v>
      </c>
      <c r="D15" s="119">
        <v>369326</v>
      </c>
      <c r="E15" s="12">
        <f>+D15/D17</f>
        <v>0.5340244942812938</v>
      </c>
      <c r="F15" s="46">
        <f>+(B15-D15)/D15</f>
        <v>0.10910956715747064</v>
      </c>
      <c r="G15" s="11">
        <v>383533</v>
      </c>
      <c r="H15" s="213">
        <v>354012</v>
      </c>
      <c r="I15" s="46">
        <f>+(G15-H15)/H15</f>
        <v>0.08338982859338101</v>
      </c>
    </row>
    <row r="16" spans="1:8" ht="15">
      <c r="A16" s="5"/>
      <c r="B16" s="11"/>
      <c r="C16" s="12"/>
      <c r="D16" s="11"/>
      <c r="E16" s="12"/>
      <c r="F16" s="11"/>
      <c r="G16" s="119"/>
      <c r="H16" s="11"/>
    </row>
    <row r="17" spans="1:9" ht="14.25">
      <c r="A17" s="13" t="s">
        <v>674</v>
      </c>
      <c r="B17" s="14">
        <f>SUM(B14:B16)</f>
        <v>760959</v>
      </c>
      <c r="C17" s="15">
        <f>SUM(C14:C16)</f>
        <v>1</v>
      </c>
      <c r="D17" s="14">
        <f>SUM(D14:D16)</f>
        <v>691590</v>
      </c>
      <c r="E17" s="15">
        <f>SUM(E14:E16)</f>
        <v>1</v>
      </c>
      <c r="F17" s="15">
        <f>+(B17-D17)/D17</f>
        <v>0.10030364811521277</v>
      </c>
      <c r="G17" s="121">
        <f>SUM(G14:G16)</f>
        <v>708926</v>
      </c>
      <c r="H17" s="14">
        <f>SUM(H14:H16)</f>
        <v>651762</v>
      </c>
      <c r="I17" s="15">
        <f>+(G17-H17)/H17</f>
        <v>0.08770686232090855</v>
      </c>
    </row>
    <row r="18" spans="1:7" ht="15">
      <c r="A18" s="11"/>
      <c r="B18" s="11"/>
      <c r="C18" s="11"/>
      <c r="D18" s="11"/>
      <c r="E18" s="11"/>
      <c r="F18" s="11"/>
      <c r="G18" s="11"/>
    </row>
    <row r="19" spans="1:7" ht="15">
      <c r="A19" s="69" t="s">
        <v>862</v>
      </c>
      <c r="B19" s="11"/>
      <c r="C19" s="11"/>
      <c r="D19" s="11"/>
      <c r="E19" s="11"/>
      <c r="F19" s="11"/>
      <c r="G19" s="11"/>
    </row>
    <row r="20" spans="1:7" ht="15">
      <c r="A20" s="69" t="s">
        <v>863</v>
      </c>
      <c r="B20" s="11"/>
      <c r="C20" s="11"/>
      <c r="D20" s="11"/>
      <c r="E20" s="11"/>
      <c r="F20" s="11"/>
      <c r="G20" s="11"/>
    </row>
    <row r="21" spans="1:9" ht="24.75" customHeight="1">
      <c r="A21" s="519" t="s">
        <v>805</v>
      </c>
      <c r="B21" s="519"/>
      <c r="C21" s="519"/>
      <c r="D21" s="519"/>
      <c r="E21" s="519"/>
      <c r="F21" s="519"/>
      <c r="G21" s="519"/>
      <c r="H21" s="519"/>
      <c r="I21" s="519"/>
    </row>
    <row r="22" spans="1:7" ht="12.75">
      <c r="A22" s="72"/>
      <c r="B22" s="1"/>
      <c r="C22" s="1"/>
      <c r="D22" s="18"/>
      <c r="E22" s="18"/>
      <c r="F22" s="18"/>
      <c r="G22" s="18"/>
    </row>
    <row r="26" spans="2:3" ht="12.75">
      <c r="B26" t="s">
        <v>737</v>
      </c>
      <c r="C26" t="s">
        <v>738</v>
      </c>
    </row>
    <row r="27" spans="1:3" ht="12.75">
      <c r="A27">
        <v>1997</v>
      </c>
      <c r="B27" s="36">
        <v>328.839</v>
      </c>
      <c r="C27" s="36"/>
    </row>
    <row r="28" spans="1:3" ht="12.75">
      <c r="A28">
        <v>1998</v>
      </c>
      <c r="B28" s="36">
        <v>444.582</v>
      </c>
      <c r="C28" s="36">
        <v>403.46</v>
      </c>
    </row>
    <row r="29" spans="1:3" ht="12.75">
      <c r="A29">
        <v>1999</v>
      </c>
      <c r="B29" s="36">
        <v>510.509</v>
      </c>
      <c r="C29" s="36">
        <v>469.992</v>
      </c>
    </row>
    <row r="30" spans="1:3" ht="12.75">
      <c r="A30" s="80">
        <v>2000</v>
      </c>
      <c r="B30" s="36">
        <v>633.152</v>
      </c>
      <c r="C30" s="36">
        <v>587.873</v>
      </c>
    </row>
    <row r="31" spans="1:3" ht="12.75">
      <c r="A31" s="57">
        <v>2001</v>
      </c>
      <c r="B31" s="36">
        <v>691.59</v>
      </c>
      <c r="C31" s="36">
        <v>651.762</v>
      </c>
    </row>
    <row r="32" spans="1:3" ht="12.75">
      <c r="A32" s="57">
        <v>2002</v>
      </c>
      <c r="B32" s="36">
        <f>+B17/1000</f>
        <v>760.959</v>
      </c>
      <c r="C32" s="36">
        <f>+G17/1000</f>
        <v>708.926</v>
      </c>
    </row>
    <row r="50" spans="1:5" ht="12.75">
      <c r="A50" s="166"/>
      <c r="B50" s="126"/>
      <c r="C50" s="126"/>
      <c r="D50" s="126"/>
      <c r="E50" s="126"/>
    </row>
  </sheetData>
  <mergeCells count="7">
    <mergeCell ref="A21:I21"/>
    <mergeCell ref="B11:F11"/>
    <mergeCell ref="G11:I11"/>
    <mergeCell ref="A5:I5"/>
    <mergeCell ref="A7:I7"/>
    <mergeCell ref="A8:I8"/>
    <mergeCell ref="A6:I6"/>
  </mergeCells>
  <printOptions horizontalCentered="1"/>
  <pageMargins left="0.75" right="0.75" top="1" bottom="1" header="0" footer="0"/>
  <pageSetup horizontalDpi="300" verticalDpi="300" orientation="portrait" scale="90" r:id="rId2"/>
  <headerFooter alignWithMargins="0">
    <oddFooter>&amp;C20</oddFooter>
  </headerFooter>
  <drawing r:id="rId1"/>
</worksheet>
</file>

<file path=xl/worksheets/sheet60.xml><?xml version="1.0" encoding="utf-8"?>
<worksheet xmlns="http://schemas.openxmlformats.org/spreadsheetml/2006/main" xmlns:r="http://schemas.openxmlformats.org/officeDocument/2006/relationships">
  <dimension ref="A1:F50"/>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707</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979</v>
      </c>
      <c r="C10" s="233" t="s">
        <v>665</v>
      </c>
      <c r="D10" s="233" t="s">
        <v>921</v>
      </c>
      <c r="E10" s="233" t="s">
        <v>665</v>
      </c>
      <c r="F10" s="233" t="s">
        <v>883</v>
      </c>
    </row>
    <row r="11" spans="1:6" ht="15">
      <c r="A11" s="2" t="s">
        <v>1090</v>
      </c>
      <c r="B11" s="155">
        <f>SUM(B12:B14)</f>
        <v>586365.110984633</v>
      </c>
      <c r="C11" s="156">
        <f>SUM(C12:C14)</f>
        <v>0.12953755210768136</v>
      </c>
      <c r="D11" s="155">
        <f>SUM(D12:D14)</f>
        <v>498712.94999999995</v>
      </c>
      <c r="E11" s="156">
        <f aca="true" t="shared" si="0" ref="E11:E19">+D11/$D$40</f>
        <v>0.13768696075778902</v>
      </c>
      <c r="F11" s="156">
        <f aca="true" t="shared" si="1" ref="F11:F19">+(B11/D11)-1</f>
        <v>0.17575673738697395</v>
      </c>
    </row>
    <row r="12" spans="1:6" ht="15">
      <c r="A12" s="234" t="s">
        <v>416</v>
      </c>
      <c r="B12" s="105">
        <v>390719.4080819579</v>
      </c>
      <c r="C12" s="235">
        <f>+B12/$B$40</f>
        <v>0.08631624688397511</v>
      </c>
      <c r="D12" s="11">
        <v>226984.31</v>
      </c>
      <c r="E12" s="235">
        <f t="shared" si="0"/>
        <v>0.06266687035819667</v>
      </c>
      <c r="F12" s="235">
        <f t="shared" si="1"/>
        <v>0.7213498504894806</v>
      </c>
    </row>
    <row r="13" spans="1:6" ht="15">
      <c r="A13" s="234" t="s">
        <v>417</v>
      </c>
      <c r="B13" s="105">
        <v>121147.12578258396</v>
      </c>
      <c r="C13" s="235">
        <f>+B13/$B$40</f>
        <v>0.026763362663930004</v>
      </c>
      <c r="D13" s="11">
        <v>114979.66</v>
      </c>
      <c r="E13" s="235">
        <f t="shared" si="0"/>
        <v>0.0317441123884269</v>
      </c>
      <c r="F13" s="235">
        <f t="shared" si="1"/>
        <v>0.05363962445691661</v>
      </c>
    </row>
    <row r="14" spans="1:6" ht="15">
      <c r="A14" s="234" t="s">
        <v>418</v>
      </c>
      <c r="B14" s="105">
        <v>74498.57712009107</v>
      </c>
      <c r="C14" s="235">
        <f>+B14/$B$40</f>
        <v>0.016457942559776253</v>
      </c>
      <c r="D14" s="11">
        <v>156748.98</v>
      </c>
      <c r="E14" s="235">
        <f t="shared" si="0"/>
        <v>0.04327597801116546</v>
      </c>
      <c r="F14" s="235">
        <f t="shared" si="1"/>
        <v>-0.5247268778393896</v>
      </c>
    </row>
    <row r="15" spans="1:6" ht="15">
      <c r="A15" s="2" t="s">
        <v>1094</v>
      </c>
      <c r="B15" s="155">
        <f>SUM(B16:B22)</f>
        <v>1788395.845190666</v>
      </c>
      <c r="C15" s="156">
        <f>SUM(C16:C22)</f>
        <v>0.3950856141432638</v>
      </c>
      <c r="D15" s="155">
        <f>SUM(D16:D22)</f>
        <v>1332734.17</v>
      </c>
      <c r="E15" s="156">
        <f t="shared" si="0"/>
        <v>0.36794736805080863</v>
      </c>
      <c r="F15" s="156">
        <f t="shared" si="1"/>
        <v>0.34189989680437627</v>
      </c>
    </row>
    <row r="16" spans="1:6" ht="15">
      <c r="A16" s="234" t="s">
        <v>560</v>
      </c>
      <c r="B16" s="105">
        <v>491492.03187251</v>
      </c>
      <c r="C16" s="235">
        <f aca="true" t="shared" si="2" ref="C16:C22">+B16/$B$40</f>
        <v>0.1085785519917538</v>
      </c>
      <c r="D16" s="105">
        <v>520011.91</v>
      </c>
      <c r="E16" s="235">
        <f t="shared" si="0"/>
        <v>0.14356727541515196</v>
      </c>
      <c r="F16" s="235">
        <f t="shared" si="1"/>
        <v>-0.05484466332221116</v>
      </c>
    </row>
    <row r="17" spans="1:6" ht="15">
      <c r="A17" s="234" t="s">
        <v>419</v>
      </c>
      <c r="B17" s="105">
        <v>1090584.5190665908</v>
      </c>
      <c r="C17" s="235">
        <f t="shared" si="2"/>
        <v>0.24092778768708406</v>
      </c>
      <c r="D17" s="105">
        <v>643843.7</v>
      </c>
      <c r="E17" s="235">
        <f t="shared" si="0"/>
        <v>0.17775532449287648</v>
      </c>
      <c r="F17" s="235">
        <f t="shared" si="1"/>
        <v>0.6938653264240853</v>
      </c>
    </row>
    <row r="18" spans="1:6" ht="22.5">
      <c r="A18" s="236" t="s">
        <v>420</v>
      </c>
      <c r="B18" s="105">
        <v>74335.51508252704</v>
      </c>
      <c r="C18" s="235">
        <f t="shared" si="2"/>
        <v>0.016421919514079918</v>
      </c>
      <c r="D18" s="105">
        <v>72704.82</v>
      </c>
      <c r="E18" s="235">
        <f t="shared" si="0"/>
        <v>0.020072680483316337</v>
      </c>
      <c r="F18" s="235">
        <f t="shared" si="1"/>
        <v>0.022428981772144363</v>
      </c>
    </row>
    <row r="19" spans="1:6" ht="15">
      <c r="A19" s="3" t="s">
        <v>421</v>
      </c>
      <c r="B19" s="105">
        <v>33154.809334092206</v>
      </c>
      <c r="C19" s="235">
        <f t="shared" si="2"/>
        <v>0.0073244344884765234</v>
      </c>
      <c r="D19" s="105">
        <v>16167.93</v>
      </c>
      <c r="E19" s="235">
        <f t="shared" si="0"/>
        <v>0.0044637163391178835</v>
      </c>
      <c r="F19" s="235">
        <f t="shared" si="1"/>
        <v>1.0506527016193297</v>
      </c>
    </row>
    <row r="20" spans="1:6" ht="15">
      <c r="A20" s="3" t="s">
        <v>422</v>
      </c>
      <c r="B20" s="105">
        <v>2036.1411496869666</v>
      </c>
      <c r="C20" s="235">
        <f t="shared" si="2"/>
        <v>0.00044981656537044893</v>
      </c>
      <c r="D20" s="266" t="s">
        <v>799</v>
      </c>
      <c r="E20" s="266" t="s">
        <v>799</v>
      </c>
      <c r="F20" s="266" t="s">
        <v>799</v>
      </c>
    </row>
    <row r="21" spans="1:6" ht="15">
      <c r="A21" s="234" t="s">
        <v>423</v>
      </c>
      <c r="B21" s="105">
        <v>70929.14058053501</v>
      </c>
      <c r="C21" s="235">
        <f t="shared" si="2"/>
        <v>0.015669396203460174</v>
      </c>
      <c r="D21" s="105">
        <v>80005.81</v>
      </c>
      <c r="E21" s="235">
        <f>+D21/$D$40</f>
        <v>0.02208837132034595</v>
      </c>
      <c r="F21" s="235">
        <f>+(B21/D21)-1</f>
        <v>-0.11345012842773528</v>
      </c>
    </row>
    <row r="22" spans="1:6" ht="15">
      <c r="A22" s="234" t="s">
        <v>538</v>
      </c>
      <c r="B22" s="105">
        <v>25863.688104723962</v>
      </c>
      <c r="C22" s="235">
        <f t="shared" si="2"/>
        <v>0.005713707693038889</v>
      </c>
      <c r="D22" s="266" t="s">
        <v>799</v>
      </c>
      <c r="E22" s="266" t="s">
        <v>799</v>
      </c>
      <c r="F22" s="266" t="s">
        <v>799</v>
      </c>
    </row>
    <row r="23" spans="1:6" ht="15">
      <c r="A23" s="2" t="s">
        <v>414</v>
      </c>
      <c r="B23" s="155">
        <f>SUM(B24:B30)</f>
        <v>1824168.7535572</v>
      </c>
      <c r="C23" s="156">
        <f>SUM(C24:C30)</f>
        <v>0.4029884291211056</v>
      </c>
      <c r="D23" s="155">
        <f>SUM(D24:D30)</f>
        <v>1585366.06</v>
      </c>
      <c r="E23" s="156">
        <f aca="true" t="shared" si="3" ref="E23:E29">+D23/$D$40</f>
        <v>0.43769514003987786</v>
      </c>
      <c r="F23" s="156">
        <f aca="true" t="shared" si="4" ref="F23:F29">+(B23/D23)-1</f>
        <v>0.15062937171570323</v>
      </c>
    </row>
    <row r="24" spans="1:6" ht="15">
      <c r="A24" s="234" t="s">
        <v>424</v>
      </c>
      <c r="B24" s="105">
        <v>1149737.3363688106</v>
      </c>
      <c r="C24" s="235">
        <f aca="true" t="shared" si="5" ref="C24:C30">+B24/$B$40</f>
        <v>0.25399560330240173</v>
      </c>
      <c r="D24" s="105">
        <v>805877.4</v>
      </c>
      <c r="E24" s="235">
        <f t="shared" si="3"/>
        <v>0.22249033226305642</v>
      </c>
      <c r="F24" s="235">
        <f t="shared" si="4"/>
        <v>0.42669013471380457</v>
      </c>
    </row>
    <row r="25" spans="1:6" ht="15">
      <c r="A25" s="234" t="s">
        <v>425</v>
      </c>
      <c r="B25" s="105">
        <v>321431.13261240756</v>
      </c>
      <c r="C25" s="235">
        <f t="shared" si="5"/>
        <v>0.07100934436548015</v>
      </c>
      <c r="D25" s="105">
        <v>254677.51</v>
      </c>
      <c r="E25" s="235">
        <f t="shared" si="3"/>
        <v>0.07031253614982612</v>
      </c>
      <c r="F25" s="235">
        <f t="shared" si="4"/>
        <v>0.262110394484411</v>
      </c>
    </row>
    <row r="26" spans="1:6" ht="15">
      <c r="A26" s="234" t="s">
        <v>426</v>
      </c>
      <c r="B26" s="105">
        <v>191267.21684689814</v>
      </c>
      <c r="C26" s="235">
        <f t="shared" si="5"/>
        <v>0.042254026722687424</v>
      </c>
      <c r="D26" s="105">
        <v>330441.6</v>
      </c>
      <c r="E26" s="235">
        <f t="shared" si="3"/>
        <v>0.0912298339394255</v>
      </c>
      <c r="F26" s="235">
        <f t="shared" si="4"/>
        <v>-0.421176943681128</v>
      </c>
    </row>
    <row r="27" spans="1:6" ht="15">
      <c r="A27" s="234" t="s">
        <v>427</v>
      </c>
      <c r="B27" s="105">
        <v>82165.90779738191</v>
      </c>
      <c r="C27" s="235">
        <f t="shared" si="5"/>
        <v>0.01815178011683789</v>
      </c>
      <c r="D27" s="105">
        <v>111313.19</v>
      </c>
      <c r="E27" s="235">
        <f t="shared" si="3"/>
        <v>0.030731856518573086</v>
      </c>
      <c r="F27" s="235">
        <f t="shared" si="4"/>
        <v>-0.2618493118615871</v>
      </c>
    </row>
    <row r="28" spans="1:6" ht="15">
      <c r="A28" s="234" t="s">
        <v>428</v>
      </c>
      <c r="B28" s="105">
        <v>75263.80193511669</v>
      </c>
      <c r="C28" s="235">
        <f t="shared" si="5"/>
        <v>0.016626993118026588</v>
      </c>
      <c r="D28" s="105">
        <v>78390.47</v>
      </c>
      <c r="E28" s="235">
        <f t="shared" si="3"/>
        <v>0.021642400837344686</v>
      </c>
      <c r="F28" s="235">
        <f t="shared" si="4"/>
        <v>-0.03988581858079576</v>
      </c>
    </row>
    <row r="29" spans="1:6" ht="15">
      <c r="A29" s="234" t="s">
        <v>429</v>
      </c>
      <c r="B29" s="105">
        <v>864.8264086511099</v>
      </c>
      <c r="C29" s="235">
        <f t="shared" si="5"/>
        <v>0.00019105416382401036</v>
      </c>
      <c r="D29" s="105">
        <v>4665.89</v>
      </c>
      <c r="E29" s="235">
        <f t="shared" si="3"/>
        <v>0.001288180331652026</v>
      </c>
      <c r="F29" s="235">
        <f t="shared" si="4"/>
        <v>-0.8146492076214592</v>
      </c>
    </row>
    <row r="30" spans="1:6" ht="15">
      <c r="A30" s="234" t="s">
        <v>616</v>
      </c>
      <c r="B30" s="105">
        <v>3438.5315879339787</v>
      </c>
      <c r="C30" s="235">
        <f t="shared" si="5"/>
        <v>0.0007596273318478175</v>
      </c>
      <c r="D30" s="266" t="s">
        <v>799</v>
      </c>
      <c r="E30" s="266" t="s">
        <v>799</v>
      </c>
      <c r="F30" s="266" t="s">
        <v>799</v>
      </c>
    </row>
    <row r="31" spans="1:6" ht="15">
      <c r="A31" s="2" t="s">
        <v>1107</v>
      </c>
      <c r="B31" s="155">
        <f>SUM(B32:B35)</f>
        <v>325898.406374502</v>
      </c>
      <c r="C31" s="156">
        <f>SUM(C32:C35)</f>
        <v>0.07199623750918178</v>
      </c>
      <c r="D31" s="155">
        <f>SUM(D32:D35)</f>
        <v>173187.1</v>
      </c>
      <c r="E31" s="156">
        <f>SUM(E32:E32)</f>
        <v>0.04781428964588805</v>
      </c>
      <c r="F31" s="156">
        <f>+(B31/D31)-1</f>
        <v>0.8817706767680848</v>
      </c>
    </row>
    <row r="32" spans="1:6" ht="15">
      <c r="A32" s="234" t="s">
        <v>430</v>
      </c>
      <c r="B32" s="105">
        <v>3108.9926010244735</v>
      </c>
      <c r="C32" s="235">
        <f>+B32/$B$40</f>
        <v>0.0006868268311211955</v>
      </c>
      <c r="D32" s="105">
        <v>173187.1</v>
      </c>
      <c r="E32" s="235">
        <f>+D32/$D$40</f>
        <v>0.04781428964588805</v>
      </c>
      <c r="F32" s="235">
        <f>+(B32/D32)-1</f>
        <v>-0.9820483592540987</v>
      </c>
    </row>
    <row r="33" spans="1:6" ht="22.5">
      <c r="A33" s="236" t="s">
        <v>431</v>
      </c>
      <c r="B33" s="105">
        <v>125291.9749573136</v>
      </c>
      <c r="C33" s="235">
        <f>+B33/$B$40</f>
        <v>0.027679026993017438</v>
      </c>
      <c r="D33" s="266" t="s">
        <v>799</v>
      </c>
      <c r="E33" s="266" t="s">
        <v>799</v>
      </c>
      <c r="F33" s="266" t="s">
        <v>799</v>
      </c>
    </row>
    <row r="34" spans="1:6" ht="15">
      <c r="A34" s="234" t="s">
        <v>432</v>
      </c>
      <c r="B34" s="105">
        <v>191636.8810472396</v>
      </c>
      <c r="C34" s="235">
        <f>+B34/$B$40</f>
        <v>0.04233569153308801</v>
      </c>
      <c r="D34" s="266" t="s">
        <v>799</v>
      </c>
      <c r="E34" s="266" t="s">
        <v>799</v>
      </c>
      <c r="F34" s="266" t="s">
        <v>799</v>
      </c>
    </row>
    <row r="35" spans="1:6" ht="15">
      <c r="A35" s="234" t="s">
        <v>539</v>
      </c>
      <c r="B35" s="284">
        <v>5860.557768924303</v>
      </c>
      <c r="C35" s="235">
        <f>+B35/$B$40</f>
        <v>0.0012946921519551397</v>
      </c>
      <c r="D35" s="266" t="s">
        <v>799</v>
      </c>
      <c r="E35" s="266" t="s">
        <v>799</v>
      </c>
      <c r="F35" s="266" t="s">
        <v>799</v>
      </c>
    </row>
    <row r="36" spans="1:6" ht="14.25">
      <c r="A36" s="2" t="s">
        <v>536</v>
      </c>
      <c r="B36" s="155">
        <v>1775.1849743881617</v>
      </c>
      <c r="C36" s="156">
        <f>+B36/B40</f>
        <v>0.00039216711876741584</v>
      </c>
      <c r="D36" s="285" t="s">
        <v>799</v>
      </c>
      <c r="E36" s="285" t="s">
        <v>799</v>
      </c>
      <c r="F36" s="285" t="s">
        <v>799</v>
      </c>
    </row>
    <row r="37" spans="1:6" ht="15">
      <c r="A37" s="2" t="s">
        <v>1110</v>
      </c>
      <c r="B37" s="155">
        <f>+B11+B23+B15+B31+B36</f>
        <v>4526603.301081389</v>
      </c>
      <c r="C37" s="156">
        <f>+B37/$B$40</f>
        <v>1</v>
      </c>
      <c r="D37" s="155">
        <f>+D11+D23+D15+D31</f>
        <v>3590000.28</v>
      </c>
      <c r="E37" s="156">
        <f>+D37/$D$40</f>
        <v>0.9911437584943635</v>
      </c>
      <c r="F37" s="156">
        <f>+(B37/D37)-1</f>
        <v>0.2608921860812192</v>
      </c>
    </row>
    <row r="38" spans="1:6" ht="15">
      <c r="A38" s="2" t="s">
        <v>1111</v>
      </c>
      <c r="B38" s="155">
        <v>0</v>
      </c>
      <c r="C38" s="156">
        <f>+B38/$B$40</f>
        <v>0</v>
      </c>
      <c r="D38" s="155">
        <v>32078</v>
      </c>
      <c r="E38" s="156">
        <f>+D38/$D$40</f>
        <v>0.00885624150563637</v>
      </c>
      <c r="F38" s="156">
        <f>+(B38/D38)-1</f>
        <v>-1</v>
      </c>
    </row>
    <row r="39" spans="1:6" ht="14.25">
      <c r="A39" s="2"/>
      <c r="B39" s="155"/>
      <c r="C39" s="156"/>
      <c r="D39" s="155"/>
      <c r="E39" s="156"/>
      <c r="F39" s="156"/>
    </row>
    <row r="40" spans="1:6" ht="14.25">
      <c r="A40" s="237" t="s">
        <v>674</v>
      </c>
      <c r="B40" s="238">
        <f>SUM(B37:B38)</f>
        <v>4526603.301081389</v>
      </c>
      <c r="C40" s="239">
        <f>SUM(C37:C38)</f>
        <v>1</v>
      </c>
      <c r="D40" s="238">
        <f>D38+D31+D15+D23+D11</f>
        <v>3622078.2800000003</v>
      </c>
      <c r="E40" s="240">
        <f>SUM(E37:E38)</f>
        <v>0.9999999999999999</v>
      </c>
      <c r="F40" s="240">
        <f>+(B40/D40)-1</f>
        <v>0.24972542036871404</v>
      </c>
    </row>
    <row r="41" spans="1:6" ht="7.5" customHeight="1">
      <c r="A41" s="5"/>
      <c r="B41" s="5"/>
      <c r="C41" s="5"/>
      <c r="D41" s="5"/>
      <c r="E41" s="5"/>
      <c r="F41" s="5"/>
    </row>
    <row r="42" spans="1:6" ht="12.75">
      <c r="A42" s="69" t="s">
        <v>870</v>
      </c>
      <c r="B42" s="47"/>
      <c r="C42" s="47"/>
      <c r="D42" s="47"/>
      <c r="E42" s="47"/>
      <c r="F42" s="47"/>
    </row>
    <row r="43" ht="6.75" customHeight="1">
      <c r="A43" s="243"/>
    </row>
    <row r="44" ht="14.25">
      <c r="A44" s="243"/>
    </row>
    <row r="45" spans="1:2" ht="12.75">
      <c r="A45" t="s">
        <v>1085</v>
      </c>
      <c r="B45" s="127">
        <f>+C11</f>
        <v>0.12953755210768136</v>
      </c>
    </row>
    <row r="46" spans="1:2" ht="12.75">
      <c r="A46" t="s">
        <v>1087</v>
      </c>
      <c r="B46" s="127">
        <f>+C23</f>
        <v>0.4029884291211056</v>
      </c>
    </row>
    <row r="47" spans="1:2" ht="12.75">
      <c r="A47" t="s">
        <v>1086</v>
      </c>
      <c r="B47" s="127">
        <f>+C15</f>
        <v>0.3950856141432638</v>
      </c>
    </row>
    <row r="48" spans="1:2" ht="12.75">
      <c r="A48" t="s">
        <v>1088</v>
      </c>
      <c r="B48" s="127">
        <f>+C31</f>
        <v>0.07199623750918178</v>
      </c>
    </row>
    <row r="49" spans="1:2" ht="12.75">
      <c r="A49" t="s">
        <v>537</v>
      </c>
      <c r="B49" s="127">
        <f>+C36</f>
        <v>0.00039216711876741584</v>
      </c>
    </row>
    <row r="50" ht="12.75">
      <c r="B50"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&amp;C74</oddFooter>
  </headerFooter>
  <drawing r:id="rId1"/>
</worksheet>
</file>

<file path=xl/worksheets/sheet61.xml><?xml version="1.0" encoding="utf-8"?>
<worksheet xmlns="http://schemas.openxmlformats.org/spreadsheetml/2006/main" xmlns:r="http://schemas.openxmlformats.org/officeDocument/2006/relationships">
  <dimension ref="A1:F29"/>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632</v>
      </c>
      <c r="B4" s="580"/>
      <c r="C4" s="580"/>
      <c r="D4" s="580"/>
      <c r="E4" s="580"/>
      <c r="F4" s="581"/>
    </row>
    <row r="5" spans="1:6" ht="15.75">
      <c r="A5" s="525" t="s">
        <v>1169</v>
      </c>
      <c r="B5" s="525"/>
      <c r="C5" s="525"/>
      <c r="D5" s="525"/>
      <c r="E5" s="525"/>
      <c r="F5" s="525"/>
    </row>
    <row r="6" spans="1:6" ht="15.75">
      <c r="A6" s="526" t="s">
        <v>1170</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921</v>
      </c>
      <c r="C10" s="233" t="s">
        <v>665</v>
      </c>
      <c r="D10" s="233" t="s">
        <v>797</v>
      </c>
      <c r="E10" s="233" t="s">
        <v>665</v>
      </c>
      <c r="F10" s="233" t="s">
        <v>933</v>
      </c>
    </row>
    <row r="11" spans="1:6" ht="15">
      <c r="A11" s="2" t="s">
        <v>1090</v>
      </c>
      <c r="B11" s="155">
        <f>SUM(B12:B13)</f>
        <v>3322075</v>
      </c>
      <c r="C11" s="156">
        <f aca="true" t="shared" si="0" ref="C11:C20">B11/B$22</f>
        <v>0.6845052284551589</v>
      </c>
      <c r="D11" s="155">
        <f>SUM(D12:D13)</f>
        <v>1448677</v>
      </c>
      <c r="E11" s="156">
        <f aca="true" t="shared" si="1" ref="E11:E20">D11/D$22</f>
        <v>0.5839002674287143</v>
      </c>
      <c r="F11" s="156">
        <f>+(B11/D11)-1</f>
        <v>1.2931785346215894</v>
      </c>
    </row>
    <row r="12" spans="1:6" ht="24" customHeight="1">
      <c r="A12" s="236" t="s">
        <v>433</v>
      </c>
      <c r="B12" s="274">
        <v>3304525</v>
      </c>
      <c r="C12" s="275">
        <f t="shared" si="0"/>
        <v>0.6808890949363828</v>
      </c>
      <c r="D12" s="274">
        <v>1400545</v>
      </c>
      <c r="E12" s="275">
        <f t="shared" si="1"/>
        <v>0.5645002992702642</v>
      </c>
      <c r="F12" s="275">
        <f>+(B12-D12)/D12</f>
        <v>1.3594564972921255</v>
      </c>
    </row>
    <row r="13" spans="1:6" ht="22.5">
      <c r="A13" s="236" t="s">
        <v>434</v>
      </c>
      <c r="B13" s="274">
        <v>17550</v>
      </c>
      <c r="C13" s="275">
        <f t="shared" si="0"/>
        <v>0.0036161335187760778</v>
      </c>
      <c r="D13" s="274">
        <v>48132</v>
      </c>
      <c r="E13" s="275">
        <f t="shared" si="1"/>
        <v>0.019399968158450003</v>
      </c>
      <c r="F13" s="275">
        <f>+(B13-D13)/D13</f>
        <v>-0.6353777112939416</v>
      </c>
    </row>
    <row r="14" spans="1:6" ht="15">
      <c r="A14" s="2" t="s">
        <v>1094</v>
      </c>
      <c r="B14" s="155">
        <f>SUM(B15:B16)</f>
        <v>1388750</v>
      </c>
      <c r="C14" s="156">
        <f t="shared" si="0"/>
        <v>0.2861484572193891</v>
      </c>
      <c r="D14" s="155">
        <f>SUM(D15:D16)</f>
        <v>785247</v>
      </c>
      <c r="E14" s="156">
        <f t="shared" si="1"/>
        <v>0.31649976723423895</v>
      </c>
      <c r="F14" s="156">
        <f>+(B14/D14)-1</f>
        <v>0.7685518059922547</v>
      </c>
    </row>
    <row r="15" spans="1:6" ht="15">
      <c r="A15" s="234" t="s">
        <v>435</v>
      </c>
      <c r="B15" s="105">
        <v>1304475</v>
      </c>
      <c r="C15" s="235">
        <f t="shared" si="0"/>
        <v>0.2687838046669757</v>
      </c>
      <c r="D15" s="105">
        <v>778797</v>
      </c>
      <c r="E15" s="235">
        <f t="shared" si="1"/>
        <v>0.313900045747037</v>
      </c>
      <c r="F15" s="235">
        <f>+(B15-D15)/D15</f>
        <v>0.6749871917842518</v>
      </c>
    </row>
    <row r="16" spans="1:6" ht="15">
      <c r="A16" s="234" t="s">
        <v>436</v>
      </c>
      <c r="B16" s="105">
        <v>84275</v>
      </c>
      <c r="C16" s="235">
        <f t="shared" si="0"/>
        <v>0.01736465255241333</v>
      </c>
      <c r="D16" s="105">
        <v>6450</v>
      </c>
      <c r="E16" s="235">
        <f t="shared" si="1"/>
        <v>0.0025997214872019135</v>
      </c>
      <c r="F16" s="235">
        <f>+(B16-D16)/D16</f>
        <v>12.065891472868216</v>
      </c>
    </row>
    <row r="17" spans="1:6" ht="15">
      <c r="A17" s="2" t="s">
        <v>414</v>
      </c>
      <c r="B17" s="155">
        <f>SUM(B18:B18)</f>
        <v>142425</v>
      </c>
      <c r="C17" s="156">
        <f t="shared" si="0"/>
        <v>0.029346314325452018</v>
      </c>
      <c r="D17" s="155">
        <f>SUM(D18:D18)</f>
        <v>142411</v>
      </c>
      <c r="E17" s="156">
        <f t="shared" si="1"/>
        <v>0.05739983514944368</v>
      </c>
      <c r="F17" s="156">
        <f>+(B17/D17)-1</f>
        <v>9.830701280089116E-05</v>
      </c>
    </row>
    <row r="18" spans="1:6" ht="22.5">
      <c r="A18" s="236" t="s">
        <v>437</v>
      </c>
      <c r="B18" s="274">
        <v>142425</v>
      </c>
      <c r="C18" s="275">
        <f t="shared" si="0"/>
        <v>0.029346314325452018</v>
      </c>
      <c r="D18" s="274">
        <v>142411</v>
      </c>
      <c r="E18" s="275">
        <f t="shared" si="1"/>
        <v>0.05739983514944368</v>
      </c>
      <c r="F18" s="275">
        <f>+(B18-D18)/D18</f>
        <v>9.830701280097745E-05</v>
      </c>
    </row>
    <row r="19" spans="1:6" ht="15">
      <c r="A19" s="2" t="s">
        <v>1110</v>
      </c>
      <c r="B19" s="155">
        <f>+B11+B17+B14</f>
        <v>4853250</v>
      </c>
      <c r="C19" s="156">
        <f t="shared" si="0"/>
        <v>1</v>
      </c>
      <c r="D19" s="155">
        <f>+D11+D17+D14</f>
        <v>2376335</v>
      </c>
      <c r="E19" s="156">
        <f t="shared" si="1"/>
        <v>0.9577998698123968</v>
      </c>
      <c r="F19" s="156">
        <f>+(B19/D19)-1</f>
        <v>1.0423256821954818</v>
      </c>
    </row>
    <row r="20" spans="1:6" ht="15">
      <c r="A20" s="2" t="s">
        <v>1111</v>
      </c>
      <c r="B20" s="155">
        <v>0</v>
      </c>
      <c r="C20" s="156">
        <f t="shared" si="0"/>
        <v>0</v>
      </c>
      <c r="D20" s="155">
        <v>104700</v>
      </c>
      <c r="E20" s="156">
        <f t="shared" si="1"/>
        <v>0.04220013018760316</v>
      </c>
      <c r="F20" s="156">
        <f>+(B20/D20)-1</f>
        <v>-1</v>
      </c>
    </row>
    <row r="21" spans="1:6" ht="14.25">
      <c r="A21" s="2"/>
      <c r="B21" s="155"/>
      <c r="C21" s="156"/>
      <c r="D21" s="155"/>
      <c r="E21" s="156"/>
      <c r="F21" s="156"/>
    </row>
    <row r="22" spans="1:6" ht="14.25">
      <c r="A22" s="237" t="s">
        <v>674</v>
      </c>
      <c r="B22" s="238">
        <f>B20+B19</f>
        <v>4853250</v>
      </c>
      <c r="C22" s="239">
        <f>SUM(C19:C20)</f>
        <v>1</v>
      </c>
      <c r="D22" s="238">
        <f>D20+D19</f>
        <v>2481035</v>
      </c>
      <c r="E22" s="240">
        <f>SUM(E19:E20)</f>
        <v>1</v>
      </c>
      <c r="F22" s="240">
        <f>+(B22/D22)-1</f>
        <v>0.9561392725213469</v>
      </c>
    </row>
    <row r="23" spans="1:6" ht="15">
      <c r="A23" s="5"/>
      <c r="B23" s="105"/>
      <c r="C23" s="5"/>
      <c r="D23" s="5"/>
      <c r="E23" s="5"/>
      <c r="F23" s="5"/>
    </row>
    <row r="24" spans="1:6" ht="12.75">
      <c r="A24" s="69" t="s">
        <v>438</v>
      </c>
      <c r="B24" s="47"/>
      <c r="C24" s="47"/>
      <c r="D24" s="47"/>
      <c r="E24" s="47"/>
      <c r="F24" s="47"/>
    </row>
    <row r="25" spans="2:5" ht="12.75">
      <c r="B25" s="36"/>
      <c r="C25" s="127"/>
      <c r="D25" s="36"/>
      <c r="E25" s="127"/>
    </row>
    <row r="26" spans="1:5" ht="12.75">
      <c r="A26" t="s">
        <v>1085</v>
      </c>
      <c r="B26" s="127">
        <v>0.6845</v>
      </c>
      <c r="E26" s="127"/>
    </row>
    <row r="27" spans="1:2" ht="12.75">
      <c r="A27" t="s">
        <v>1087</v>
      </c>
      <c r="B27" s="127">
        <v>0.0293</v>
      </c>
    </row>
    <row r="28" spans="1:2" ht="12.75">
      <c r="A28" t="s">
        <v>1086</v>
      </c>
      <c r="B28" s="127">
        <v>0.2861</v>
      </c>
    </row>
    <row r="29" ht="12.75">
      <c r="B29"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&amp;C75</oddFooter>
  </headerFooter>
  <drawing r:id="rId1"/>
</worksheet>
</file>

<file path=xl/worksheets/sheet62.xml><?xml version="1.0" encoding="utf-8"?>
<worksheet xmlns="http://schemas.openxmlformats.org/spreadsheetml/2006/main" xmlns:r="http://schemas.openxmlformats.org/officeDocument/2006/relationships">
  <dimension ref="A1:F44"/>
  <sheetViews>
    <sheetView workbookViewId="0" topLeftCell="A1">
      <selection activeCell="A4" sqref="A4:F4"/>
    </sheetView>
  </sheetViews>
  <sheetFormatPr defaultColWidth="11.421875" defaultRowHeight="12.75"/>
  <cols>
    <col min="1" max="1" width="37.7109375" style="0" customWidth="1"/>
    <col min="2" max="2" width="15.8515625" style="0" customWidth="1"/>
    <col min="4" max="4" width="15.8515625" style="0" customWidth="1"/>
  </cols>
  <sheetData>
    <row r="1" spans="1:6" ht="12.75">
      <c r="A1" s="1" t="s">
        <v>658</v>
      </c>
      <c r="B1" s="1"/>
      <c r="C1" s="1"/>
      <c r="D1" s="1"/>
      <c r="E1" s="47"/>
      <c r="F1" s="47"/>
    </row>
    <row r="2" spans="1:6" ht="12.75">
      <c r="A2" s="1" t="s">
        <v>659</v>
      </c>
      <c r="B2" s="1"/>
      <c r="C2" s="1"/>
      <c r="D2" s="1"/>
      <c r="E2" s="47"/>
      <c r="F2" s="47"/>
    </row>
    <row r="3" spans="1:6" ht="13.5" thickBot="1">
      <c r="A3" s="47"/>
      <c r="B3" s="47"/>
      <c r="C3" s="47"/>
      <c r="D3" s="47"/>
      <c r="E3" s="47"/>
      <c r="F3" s="47"/>
    </row>
    <row r="4" spans="1:6" ht="18.75" thickBot="1">
      <c r="A4" s="579" t="s">
        <v>708</v>
      </c>
      <c r="B4" s="580"/>
      <c r="C4" s="580"/>
      <c r="D4" s="580"/>
      <c r="E4" s="580"/>
      <c r="F4" s="581"/>
    </row>
    <row r="5" spans="1:6" ht="15.75">
      <c r="A5" s="525" t="s">
        <v>1080</v>
      </c>
      <c r="B5" s="525"/>
      <c r="C5" s="525"/>
      <c r="D5" s="525"/>
      <c r="E5" s="525"/>
      <c r="F5" s="525"/>
    </row>
    <row r="6" spans="1:6" ht="15.75">
      <c r="A6" s="526" t="s">
        <v>1081</v>
      </c>
      <c r="B6" s="526"/>
      <c r="C6" s="526"/>
      <c r="D6" s="526"/>
      <c r="E6" s="526"/>
      <c r="F6" s="526"/>
    </row>
    <row r="7" spans="1:6" ht="15.75">
      <c r="A7" s="6"/>
      <c r="B7" s="5"/>
      <c r="C7" s="5"/>
      <c r="D7" s="5"/>
      <c r="E7" s="5"/>
      <c r="F7" s="5"/>
    </row>
    <row r="8" spans="1:6" ht="15">
      <c r="A8" s="5"/>
      <c r="B8" s="230" t="s">
        <v>1082</v>
      </c>
      <c r="C8" s="2"/>
      <c r="D8" s="230" t="s">
        <v>1082</v>
      </c>
      <c r="E8" s="2"/>
      <c r="F8" s="47"/>
    </row>
    <row r="9" spans="1:6" ht="15">
      <c r="A9" s="5"/>
      <c r="B9" s="231" t="s">
        <v>1083</v>
      </c>
      <c r="C9" s="2"/>
      <c r="D9" s="231" t="s">
        <v>1083</v>
      </c>
      <c r="E9" s="2"/>
      <c r="F9" s="232"/>
    </row>
    <row r="10" spans="1:6" ht="15">
      <c r="A10" s="5"/>
      <c r="B10" s="233" t="s">
        <v>979</v>
      </c>
      <c r="C10" s="233" t="s">
        <v>665</v>
      </c>
      <c r="D10" s="233" t="s">
        <v>921</v>
      </c>
      <c r="E10" s="233" t="s">
        <v>665</v>
      </c>
      <c r="F10" s="233" t="s">
        <v>883</v>
      </c>
    </row>
    <row r="11" spans="1:6" ht="15">
      <c r="A11" s="2" t="s">
        <v>1090</v>
      </c>
      <c r="B11" s="155">
        <f>SUM(B12:B22)</f>
        <v>498316.1635293515</v>
      </c>
      <c r="C11" s="156">
        <f>SUM(C12:C22)</f>
        <v>0.5577972840518989</v>
      </c>
      <c r="D11" s="155">
        <f>SUM(D12:D22)</f>
        <v>640120</v>
      </c>
      <c r="E11" s="156">
        <f>SUM(E12:E22)</f>
        <v>0.612320642816147</v>
      </c>
      <c r="F11" s="156">
        <f>+B11/D11-1</f>
        <v>-0.22152695818072932</v>
      </c>
    </row>
    <row r="12" spans="1:6" ht="15">
      <c r="A12" s="234" t="s">
        <v>439</v>
      </c>
      <c r="B12" s="105">
        <v>2122.97995285105</v>
      </c>
      <c r="C12" s="235">
        <f aca="true" t="shared" si="0" ref="C12:C22">+B12/$B$35</f>
        <v>0.002376387800487618</v>
      </c>
      <c r="D12" s="105">
        <v>4500</v>
      </c>
      <c r="E12" s="235">
        <f>+D12/$D$35</f>
        <v>0.0043045724124736945</v>
      </c>
      <c r="F12" s="235">
        <f>+B12/D12-1</f>
        <v>-0.5282266771442112</v>
      </c>
    </row>
    <row r="13" spans="1:6" ht="15">
      <c r="A13" s="234" t="s">
        <v>440</v>
      </c>
      <c r="B13" s="105">
        <v>23647.64619829082</v>
      </c>
      <c r="C13" s="235">
        <f t="shared" si="0"/>
        <v>0.026470329058170084</v>
      </c>
      <c r="D13" s="105">
        <v>39830</v>
      </c>
      <c r="E13" s="235">
        <f>+D13/$D$35</f>
        <v>0.03810024870862828</v>
      </c>
      <c r="F13" s="235">
        <f>+B13/D13-1</f>
        <v>-0.4062855586670645</v>
      </c>
    </row>
    <row r="14" spans="1:6" ht="15">
      <c r="A14" s="286" t="s">
        <v>441</v>
      </c>
      <c r="B14" s="214">
        <v>158508.48388979357</v>
      </c>
      <c r="C14" s="235">
        <f t="shared" si="0"/>
        <v>0.17742872554384484</v>
      </c>
      <c r="D14" s="266" t="s">
        <v>799</v>
      </c>
      <c r="E14" s="266" t="s">
        <v>799</v>
      </c>
      <c r="F14" s="266" t="s">
        <v>799</v>
      </c>
    </row>
    <row r="15" spans="1:6" ht="15">
      <c r="A15" s="234" t="s">
        <v>442</v>
      </c>
      <c r="B15" s="105">
        <v>219189.52379349864</v>
      </c>
      <c r="C15" s="235">
        <f t="shared" si="0"/>
        <v>0.24535291048700072</v>
      </c>
      <c r="D15" s="105">
        <v>517620</v>
      </c>
      <c r="E15" s="235">
        <f aca="true" t="shared" si="1" ref="E15:E20">+D15/$D$35</f>
        <v>0.4951406160321408</v>
      </c>
      <c r="F15" s="235">
        <f aca="true" t="shared" si="2" ref="F15:F20">+B15/D15-1</f>
        <v>-0.5765435574485169</v>
      </c>
    </row>
    <row r="16" spans="1:6" ht="22.5">
      <c r="A16" s="236" t="s">
        <v>443</v>
      </c>
      <c r="B16" s="105">
        <v>25664.58052102555</v>
      </c>
      <c r="C16" s="235">
        <f t="shared" si="0"/>
        <v>0.02872801317454377</v>
      </c>
      <c r="D16" s="105">
        <v>53300</v>
      </c>
      <c r="E16" s="235">
        <f t="shared" si="1"/>
        <v>0.05098526879663287</v>
      </c>
      <c r="F16" s="235">
        <f t="shared" si="2"/>
        <v>-0.5184881703372317</v>
      </c>
    </row>
    <row r="17" spans="1:6" ht="15">
      <c r="A17" s="234" t="s">
        <v>444</v>
      </c>
      <c r="B17" s="105">
        <v>8481.333184869349</v>
      </c>
      <c r="C17" s="235">
        <f t="shared" si="0"/>
        <v>0.009493700910989432</v>
      </c>
      <c r="D17" s="105">
        <v>10940</v>
      </c>
      <c r="E17" s="235">
        <f t="shared" si="1"/>
        <v>0.01046489382054716</v>
      </c>
      <c r="F17" s="235">
        <f t="shared" si="2"/>
        <v>-0.22474102514905403</v>
      </c>
    </row>
    <row r="18" spans="1:6" ht="15">
      <c r="A18" s="234" t="s">
        <v>445</v>
      </c>
      <c r="B18" s="105">
        <v>6701.320648494653</v>
      </c>
      <c r="C18" s="235">
        <f t="shared" si="0"/>
        <v>0.007501218565371811</v>
      </c>
      <c r="D18" s="105">
        <v>9280</v>
      </c>
      <c r="E18" s="235">
        <f t="shared" si="1"/>
        <v>0.008876984886167973</v>
      </c>
      <c r="F18" s="235">
        <f t="shared" si="2"/>
        <v>-0.2778749301191107</v>
      </c>
    </row>
    <row r="19" spans="1:6" ht="15">
      <c r="A19" s="234" t="s">
        <v>446</v>
      </c>
      <c r="B19" s="105">
        <v>2185.850067981184</v>
      </c>
      <c r="C19" s="235">
        <f t="shared" si="0"/>
        <v>0.0024467623579156623</v>
      </c>
      <c r="D19" s="105">
        <v>2310</v>
      </c>
      <c r="E19" s="235">
        <f t="shared" si="1"/>
        <v>0.0022096805050698296</v>
      </c>
      <c r="F19" s="235">
        <f t="shared" si="2"/>
        <v>-0.0537445593155047</v>
      </c>
    </row>
    <row r="20" spans="1:6" ht="15">
      <c r="A20" s="234" t="s">
        <v>447</v>
      </c>
      <c r="B20" s="105">
        <v>1959.0118513486354</v>
      </c>
      <c r="C20" s="235">
        <f t="shared" si="0"/>
        <v>0.0021928477743294946</v>
      </c>
      <c r="D20" s="105">
        <v>1780</v>
      </c>
      <c r="E20" s="235">
        <f t="shared" si="1"/>
        <v>0.00170269753204515</v>
      </c>
      <c r="F20" s="235">
        <f t="shared" si="2"/>
        <v>0.10056845581384022</v>
      </c>
    </row>
    <row r="21" spans="1:6" ht="15">
      <c r="A21" s="234" t="s">
        <v>448</v>
      </c>
      <c r="B21" s="105">
        <v>45434.568167807694</v>
      </c>
      <c r="C21" s="235">
        <f t="shared" si="0"/>
        <v>0.05085782999005858</v>
      </c>
      <c r="D21" s="266" t="s">
        <v>799</v>
      </c>
      <c r="E21" s="266" t="s">
        <v>799</v>
      </c>
      <c r="F21" s="266" t="s">
        <v>799</v>
      </c>
    </row>
    <row r="22" spans="1:6" ht="15">
      <c r="A22" s="234" t="s">
        <v>449</v>
      </c>
      <c r="B22" s="105">
        <v>4420.86525339034</v>
      </c>
      <c r="C22" s="235">
        <f t="shared" si="0"/>
        <v>0.004948558389186774</v>
      </c>
      <c r="D22" s="105">
        <v>560</v>
      </c>
      <c r="E22" s="235">
        <f>+D22/$D$35</f>
        <v>0.0005356801224411709</v>
      </c>
      <c r="F22" s="235">
        <f>+B22/D22-1</f>
        <v>6.894402238197035</v>
      </c>
    </row>
    <row r="23" spans="1:6" ht="15">
      <c r="A23" s="2" t="s">
        <v>1094</v>
      </c>
      <c r="B23" s="155">
        <f>SUM(B24:B26)</f>
        <v>43018.20775353565</v>
      </c>
      <c r="C23" s="156">
        <f>SUM(C24:C26)</f>
        <v>0.04815304259800346</v>
      </c>
      <c r="D23" s="155">
        <f>SUM(D24:D26)</f>
        <v>62840</v>
      </c>
      <c r="E23" s="156">
        <f>SUM(E24:E25)</f>
        <v>0.0601109623110771</v>
      </c>
      <c r="F23" s="156">
        <f>+B23/D23-1</f>
        <v>-0.31543272193609717</v>
      </c>
    </row>
    <row r="24" spans="1:6" ht="15">
      <c r="A24" s="234" t="s">
        <v>450</v>
      </c>
      <c r="B24" s="105">
        <v>12544.432433219183</v>
      </c>
      <c r="C24" s="235">
        <f>+B24/$B$35</f>
        <v>0.01404178883475062</v>
      </c>
      <c r="D24" s="105">
        <v>45310</v>
      </c>
      <c r="E24" s="235">
        <f>+D24/$D$35</f>
        <v>0.04334226133537402</v>
      </c>
      <c r="F24" s="235">
        <f>+B24/D24-1</f>
        <v>-0.7231420782781024</v>
      </c>
    </row>
    <row r="25" spans="1:6" ht="15">
      <c r="A25" s="234" t="s">
        <v>451</v>
      </c>
      <c r="B25" s="105">
        <v>4528.549189934087</v>
      </c>
      <c r="C25" s="235">
        <f>+B25/$B$35</f>
        <v>0.005069095934898115</v>
      </c>
      <c r="D25" s="105">
        <v>17530</v>
      </c>
      <c r="E25" s="235">
        <f>+D25/$D$35</f>
        <v>0.016768700975703082</v>
      </c>
      <c r="F25" s="235">
        <f>+B25/D25-1</f>
        <v>-0.7416686143791166</v>
      </c>
    </row>
    <row r="26" spans="1:6" ht="15">
      <c r="A26" s="286" t="s">
        <v>452</v>
      </c>
      <c r="B26" s="214">
        <v>25945.22613038238</v>
      </c>
      <c r="C26" s="235">
        <f>+B26/$B$35</f>
        <v>0.02904215782835472</v>
      </c>
      <c r="D26" s="266" t="s">
        <v>799</v>
      </c>
      <c r="E26" s="266" t="s">
        <v>799</v>
      </c>
      <c r="F26" s="266" t="s">
        <v>799</v>
      </c>
    </row>
    <row r="27" spans="1:6" ht="15">
      <c r="A27" s="2" t="s">
        <v>1099</v>
      </c>
      <c r="B27" s="155">
        <f>SUM(B28:B31)</f>
        <v>178471.72013322636</v>
      </c>
      <c r="C27" s="156">
        <f>SUM(C28:C31)</f>
        <v>0.19977485792415112</v>
      </c>
      <c r="D27" s="155">
        <f>SUM(D28:D31)</f>
        <v>226700</v>
      </c>
      <c r="E27" s="156">
        <f>SUM(E28:E31)</f>
        <v>0.21685479242395253</v>
      </c>
      <c r="F27" s="156">
        <f aca="true" t="shared" si="3" ref="F27:F33">+B27/D27-1</f>
        <v>-0.21274053756847655</v>
      </c>
    </row>
    <row r="28" spans="1:6" ht="15">
      <c r="A28" s="234" t="s">
        <v>453</v>
      </c>
      <c r="B28" s="105">
        <v>53960.70787654774</v>
      </c>
      <c r="C28" s="235">
        <f>+B28/$B$35</f>
        <v>0.06040168572072287</v>
      </c>
      <c r="D28" s="105">
        <v>173140</v>
      </c>
      <c r="E28" s="235">
        <f>+D28/$D$35</f>
        <v>0.16562081499904344</v>
      </c>
      <c r="F28" s="235">
        <f t="shared" si="3"/>
        <v>-0.6883406036932671</v>
      </c>
    </row>
    <row r="29" spans="1:6" ht="15">
      <c r="A29" s="234" t="s">
        <v>454</v>
      </c>
      <c r="B29" s="11">
        <v>114114.28070506235</v>
      </c>
      <c r="C29" s="235">
        <f>+B29/$B$35</f>
        <v>0.1277354428923126</v>
      </c>
      <c r="D29" s="266">
        <v>26980</v>
      </c>
      <c r="E29" s="235">
        <f>+D29/$D$35</f>
        <v>0.025808303041897837</v>
      </c>
      <c r="F29" s="235">
        <f t="shared" si="3"/>
        <v>3.2295878689793307</v>
      </c>
    </row>
    <row r="30" spans="1:6" ht="15">
      <c r="A30" s="234" t="s">
        <v>455</v>
      </c>
      <c r="B30" s="105">
        <v>10252.740271537334</v>
      </c>
      <c r="C30" s="235">
        <f>+B30/$B$35</f>
        <v>0.011476550624102319</v>
      </c>
      <c r="D30" s="105">
        <v>25100</v>
      </c>
      <c r="E30" s="235">
        <f>+D30/$D$35</f>
        <v>0.024009948345131052</v>
      </c>
      <c r="F30" s="235">
        <f t="shared" si="3"/>
        <v>-0.5915242919706242</v>
      </c>
    </row>
    <row r="31" spans="1:6" ht="15">
      <c r="A31" s="234" t="s">
        <v>456</v>
      </c>
      <c r="B31" s="105">
        <v>143.99128007894586</v>
      </c>
      <c r="C31" s="235">
        <f>+B31/$B$35</f>
        <v>0.0001611786870133532</v>
      </c>
      <c r="D31" s="105">
        <v>1480</v>
      </c>
      <c r="E31" s="235">
        <f>+D31/$D$35</f>
        <v>0.0014157260378802373</v>
      </c>
      <c r="F31" s="235">
        <f t="shared" si="3"/>
        <v>-0.9027085945412527</v>
      </c>
    </row>
    <row r="32" spans="1:6" ht="15">
      <c r="A32" s="2" t="s">
        <v>1110</v>
      </c>
      <c r="B32" s="155">
        <f>+B11+B23+B27</f>
        <v>719806.0914161135</v>
      </c>
      <c r="C32" s="156">
        <f>+C11+C23+C27</f>
        <v>0.8057251845740534</v>
      </c>
      <c r="D32" s="155">
        <f>+D11+D23+D27</f>
        <v>929660</v>
      </c>
      <c r="E32" s="156">
        <f>+E11+E23+E27</f>
        <v>0.8892863975511767</v>
      </c>
      <c r="F32" s="156">
        <f t="shared" si="3"/>
        <v>-0.22573188970579183</v>
      </c>
    </row>
    <row r="33" spans="1:6" ht="15">
      <c r="A33" s="2" t="s">
        <v>1111</v>
      </c>
      <c r="B33" s="155">
        <v>173558.1786813131</v>
      </c>
      <c r="C33" s="156">
        <f>+B33/B35</f>
        <v>0.19427481542594663</v>
      </c>
      <c r="D33" s="155">
        <v>115740</v>
      </c>
      <c r="E33" s="156">
        <f>+D33/$D$35</f>
        <v>0.11071360244882342</v>
      </c>
      <c r="F33" s="156">
        <f t="shared" si="3"/>
        <v>0.499552260941015</v>
      </c>
    </row>
    <row r="34" spans="1:6" ht="14.25">
      <c r="A34" s="2" t="s">
        <v>686</v>
      </c>
      <c r="B34" s="287"/>
      <c r="C34" s="288"/>
      <c r="D34" s="287"/>
      <c r="E34" s="289"/>
      <c r="F34" s="288"/>
    </row>
    <row r="35" spans="1:6" ht="14.25">
      <c r="A35" s="237" t="s">
        <v>674</v>
      </c>
      <c r="B35" s="238">
        <f>SUM(B32:B33)</f>
        <v>893364.2700974266</v>
      </c>
      <c r="C35" s="239">
        <f>SUM(C32:C33)</f>
        <v>1</v>
      </c>
      <c r="D35" s="238">
        <f>SUM(D32:D33)</f>
        <v>1045400</v>
      </c>
      <c r="E35" s="240">
        <f>SUM(E32:E33)</f>
        <v>1</v>
      </c>
      <c r="F35" s="240">
        <f>+B35/D35-1</f>
        <v>-0.1454330685886488</v>
      </c>
    </row>
    <row r="36" spans="1:6" ht="9" customHeight="1">
      <c r="A36" s="5"/>
      <c r="B36" s="105"/>
      <c r="C36" s="5"/>
      <c r="D36" s="105"/>
      <c r="E36" s="5"/>
      <c r="F36" s="5"/>
    </row>
    <row r="37" spans="1:6" ht="12.75">
      <c r="A37" s="17" t="s">
        <v>734</v>
      </c>
      <c r="B37" s="290"/>
      <c r="C37" s="47"/>
      <c r="D37" s="290"/>
      <c r="E37" s="47"/>
      <c r="F37" s="47"/>
    </row>
    <row r="38" ht="7.5" customHeight="1">
      <c r="A38" s="243"/>
    </row>
    <row r="39" ht="14.25">
      <c r="A39" s="243"/>
    </row>
    <row r="40" spans="1:2" ht="12.75">
      <c r="A40" t="s">
        <v>1085</v>
      </c>
      <c r="B40" s="127">
        <f>+C11</f>
        <v>0.5577972840518989</v>
      </c>
    </row>
    <row r="41" spans="1:2" ht="12.75">
      <c r="A41" t="s">
        <v>1086</v>
      </c>
      <c r="B41" s="127">
        <f>+C23</f>
        <v>0.04815304259800346</v>
      </c>
    </row>
    <row r="42" spans="1:2" ht="12.75">
      <c r="A42" t="s">
        <v>1087</v>
      </c>
      <c r="B42" s="127">
        <f>+C27</f>
        <v>0.19977485792415112</v>
      </c>
    </row>
    <row r="43" spans="1:2" ht="12.75">
      <c r="A43" t="s">
        <v>1089</v>
      </c>
      <c r="B43" s="127">
        <f>+C33</f>
        <v>0.19427481542594663</v>
      </c>
    </row>
    <row r="44" ht="12.75">
      <c r="B44" s="127"/>
    </row>
  </sheetData>
  <mergeCells count="3">
    <mergeCell ref="A4:F4"/>
    <mergeCell ref="A5:F5"/>
    <mergeCell ref="A6:F6"/>
  </mergeCells>
  <printOptions horizontalCentered="1"/>
  <pageMargins left="0.75" right="0.75" top="1" bottom="1" header="0" footer="0"/>
  <pageSetup horizontalDpi="300" verticalDpi="300" orientation="portrait" scale="90" r:id="rId2"/>
  <headerFooter alignWithMargins="0">
    <oddFooter>&amp;C76</oddFooter>
  </headerFooter>
  <drawing r:id="rId1"/>
</worksheet>
</file>

<file path=xl/worksheets/sheet63.xml><?xml version="1.0" encoding="utf-8"?>
<worksheet xmlns="http://schemas.openxmlformats.org/spreadsheetml/2006/main" xmlns:r="http://schemas.openxmlformats.org/officeDocument/2006/relationships">
  <dimension ref="B8:H18"/>
  <sheetViews>
    <sheetView workbookViewId="0" topLeftCell="A13">
      <selection activeCell="C9" sqref="C9:G9"/>
    </sheetView>
  </sheetViews>
  <sheetFormatPr defaultColWidth="11.421875" defaultRowHeight="12.75"/>
  <cols>
    <col min="1" max="1" width="10.00390625" style="0" customWidth="1"/>
    <col min="2" max="2" width="0.42578125" style="0" customWidth="1"/>
    <col min="7" max="7" width="26.00390625" style="0" customWidth="1"/>
    <col min="8" max="8" width="0.42578125" style="0" customWidth="1"/>
  </cols>
  <sheetData>
    <row r="8" spans="2:8" ht="2.25" customHeight="1">
      <c r="B8" s="479"/>
      <c r="C8" s="493"/>
      <c r="D8" s="494"/>
      <c r="E8" s="493"/>
      <c r="F8" s="493"/>
      <c r="G8" s="493"/>
      <c r="H8" s="479"/>
    </row>
    <row r="9" spans="2:8" ht="30">
      <c r="B9" s="478"/>
      <c r="C9" s="533" t="s">
        <v>641</v>
      </c>
      <c r="D9" s="533"/>
      <c r="E9" s="533"/>
      <c r="F9" s="533"/>
      <c r="G9" s="533"/>
      <c r="H9" s="478"/>
    </row>
    <row r="10" spans="2:8" ht="12.75">
      <c r="B10" s="478"/>
      <c r="C10" s="471"/>
      <c r="D10" s="471"/>
      <c r="E10" s="471"/>
      <c r="F10" s="471"/>
      <c r="G10" s="471"/>
      <c r="H10" s="478"/>
    </row>
    <row r="11" spans="2:8" ht="12.75">
      <c r="B11" s="478"/>
      <c r="C11" s="532" t="s">
        <v>642</v>
      </c>
      <c r="D11" s="532"/>
      <c r="E11" s="532"/>
      <c r="F11" s="532"/>
      <c r="G11" s="532"/>
      <c r="H11" s="478"/>
    </row>
    <row r="12" spans="2:8" ht="12.75">
      <c r="B12" s="478"/>
      <c r="C12" s="532"/>
      <c r="D12" s="532"/>
      <c r="E12" s="532"/>
      <c r="F12" s="532"/>
      <c r="G12" s="532"/>
      <c r="H12" s="478"/>
    </row>
    <row r="13" spans="2:8" ht="12.75">
      <c r="B13" s="478"/>
      <c r="C13" s="532"/>
      <c r="D13" s="532"/>
      <c r="E13" s="532"/>
      <c r="F13" s="532"/>
      <c r="G13" s="532"/>
      <c r="H13" s="478"/>
    </row>
    <row r="14" spans="2:8" ht="18.75" customHeight="1">
      <c r="B14" s="478"/>
      <c r="C14" s="532"/>
      <c r="D14" s="532"/>
      <c r="E14" s="532"/>
      <c r="F14" s="532"/>
      <c r="G14" s="532"/>
      <c r="H14" s="478"/>
    </row>
    <row r="15" spans="2:8" ht="15.75" customHeight="1">
      <c r="B15" s="478"/>
      <c r="C15" s="532"/>
      <c r="D15" s="532"/>
      <c r="E15" s="532"/>
      <c r="F15" s="532"/>
      <c r="G15" s="532"/>
      <c r="H15" s="478"/>
    </row>
    <row r="16" spans="2:8" ht="16.5" customHeight="1">
      <c r="B16" s="478"/>
      <c r="C16" s="532"/>
      <c r="D16" s="532"/>
      <c r="E16" s="532"/>
      <c r="F16" s="532"/>
      <c r="G16" s="532"/>
      <c r="H16" s="478"/>
    </row>
    <row r="17" spans="2:8" ht="42.75" customHeight="1">
      <c r="B17" s="478"/>
      <c r="C17" s="532"/>
      <c r="D17" s="532"/>
      <c r="E17" s="532"/>
      <c r="F17" s="532"/>
      <c r="G17" s="532"/>
      <c r="H17" s="478"/>
    </row>
    <row r="18" spans="2:8" ht="2.25" customHeight="1">
      <c r="B18" s="479"/>
      <c r="C18" s="493"/>
      <c r="D18" s="493"/>
      <c r="E18" s="493"/>
      <c r="F18" s="493"/>
      <c r="G18" s="493"/>
      <c r="H18" s="479"/>
    </row>
  </sheetData>
  <mergeCells count="2">
    <mergeCell ref="C9:G9"/>
    <mergeCell ref="C11:G17"/>
  </mergeCells>
  <printOptions horizontalCentered="1"/>
  <pageMargins left="0.75" right="0.75" top="0.5905511811023623" bottom="1" header="0" footer="0"/>
  <pageSetup horizontalDpi="300" verticalDpi="300" orientation="portrait" scale="90" r:id="rId1"/>
  <headerFooter alignWithMargins="0">
    <oddFooter>&amp;C77</oddFooter>
  </headerFooter>
</worksheet>
</file>

<file path=xl/worksheets/sheet64.xml><?xml version="1.0" encoding="utf-8"?>
<worksheet xmlns="http://schemas.openxmlformats.org/spreadsheetml/2006/main" xmlns:r="http://schemas.openxmlformats.org/officeDocument/2006/relationships">
  <dimension ref="B9:B9"/>
  <sheetViews>
    <sheetView workbookViewId="0" topLeftCell="A4">
      <selection activeCell="F15" sqref="F15"/>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&amp;C78</oddFooter>
  </headerFooter>
</worksheet>
</file>

<file path=xl/worksheets/sheet65.xml><?xml version="1.0" encoding="utf-8"?>
<worksheet xmlns="http://schemas.openxmlformats.org/spreadsheetml/2006/main" xmlns:r="http://schemas.openxmlformats.org/officeDocument/2006/relationships">
  <dimension ref="A1:G58"/>
  <sheetViews>
    <sheetView workbookViewId="0" topLeftCell="A10">
      <selection activeCell="A4" sqref="A4:G4"/>
    </sheetView>
  </sheetViews>
  <sheetFormatPr defaultColWidth="11.421875" defaultRowHeight="12.75"/>
  <cols>
    <col min="1" max="1" width="24.421875" style="0" customWidth="1"/>
  </cols>
  <sheetData>
    <row r="1" spans="1:7" ht="12.75">
      <c r="A1" s="1" t="s">
        <v>658</v>
      </c>
      <c r="B1" s="1"/>
      <c r="C1" s="1"/>
      <c r="D1" s="1"/>
      <c r="E1" s="1"/>
      <c r="F1" s="47"/>
      <c r="G1" s="47"/>
    </row>
    <row r="2" spans="1:7" ht="12.75">
      <c r="A2" s="1" t="s">
        <v>659</v>
      </c>
      <c r="B2" s="1"/>
      <c r="C2" s="1"/>
      <c r="D2" s="1"/>
      <c r="E2" s="1"/>
      <c r="F2" s="47"/>
      <c r="G2" s="47"/>
    </row>
    <row r="3" spans="1:7" ht="11.25" customHeight="1" thickBot="1">
      <c r="A3" s="47"/>
      <c r="B3" s="47"/>
      <c r="C3" s="47"/>
      <c r="D3" s="47"/>
      <c r="E3" s="47"/>
      <c r="F3" s="47"/>
      <c r="G3" s="47"/>
    </row>
    <row r="4" spans="1:7" ht="18.75" thickBot="1">
      <c r="A4" s="579" t="s">
        <v>659</v>
      </c>
      <c r="B4" s="580"/>
      <c r="C4" s="580"/>
      <c r="D4" s="580"/>
      <c r="E4" s="580"/>
      <c r="F4" s="580"/>
      <c r="G4" s="581"/>
    </row>
    <row r="5" spans="1:7" ht="15.75">
      <c r="A5" s="525" t="s">
        <v>1152</v>
      </c>
      <c r="B5" s="525"/>
      <c r="C5" s="525"/>
      <c r="D5" s="525"/>
      <c r="E5" s="525"/>
      <c r="F5" s="525"/>
      <c r="G5" s="525"/>
    </row>
    <row r="6" spans="1:7" ht="15.75">
      <c r="A6" s="526" t="s">
        <v>1143</v>
      </c>
      <c r="B6" s="526"/>
      <c r="C6" s="526"/>
      <c r="D6" s="526"/>
      <c r="E6" s="526"/>
      <c r="F6" s="526"/>
      <c r="G6" s="526"/>
    </row>
    <row r="7" ht="9.75" customHeight="1"/>
    <row r="8" ht="9.75" customHeight="1"/>
    <row r="9" spans="1:7" ht="14.25">
      <c r="A9" s="480" t="s">
        <v>752</v>
      </c>
      <c r="B9" s="480" t="s">
        <v>540</v>
      </c>
      <c r="C9" s="480" t="s">
        <v>528</v>
      </c>
      <c r="D9" s="480" t="s">
        <v>1134</v>
      </c>
      <c r="E9" s="480" t="s">
        <v>1113</v>
      </c>
      <c r="F9" s="480" t="s">
        <v>1136</v>
      </c>
      <c r="G9" s="480" t="s">
        <v>713</v>
      </c>
    </row>
    <row r="10" spans="1:7" ht="15">
      <c r="A10" s="482" t="s">
        <v>753</v>
      </c>
      <c r="B10" s="482"/>
      <c r="C10" s="482"/>
      <c r="D10" s="482"/>
      <c r="E10" s="482"/>
      <c r="F10" s="492"/>
      <c r="G10" s="492" t="s">
        <v>932</v>
      </c>
    </row>
    <row r="11" ht="10.5" customHeight="1"/>
    <row r="12" spans="1:7" ht="15">
      <c r="A12" s="28" t="s">
        <v>754</v>
      </c>
      <c r="B12" s="120">
        <v>9118</v>
      </c>
      <c r="C12" s="31">
        <v>11381</v>
      </c>
      <c r="D12" s="31">
        <v>11683</v>
      </c>
      <c r="E12" s="31">
        <v>11877</v>
      </c>
      <c r="F12" s="31">
        <v>13725</v>
      </c>
      <c r="G12" s="58">
        <f>+(B12-C12)/C12</f>
        <v>-0.19884017221685266</v>
      </c>
    </row>
    <row r="13" spans="1:7" ht="15">
      <c r="A13" s="28" t="s">
        <v>529</v>
      </c>
      <c r="B13" s="120">
        <v>28046</v>
      </c>
      <c r="C13" s="31">
        <v>31778</v>
      </c>
      <c r="D13" s="31">
        <v>4915</v>
      </c>
      <c r="E13" s="137" t="s">
        <v>711</v>
      </c>
      <c r="F13" s="137" t="s">
        <v>711</v>
      </c>
      <c r="G13" s="58">
        <f>+(B13-C13)/C13</f>
        <v>-0.11743973818364907</v>
      </c>
    </row>
    <row r="14" spans="1:7" ht="15">
      <c r="A14" s="291" t="s">
        <v>534</v>
      </c>
      <c r="B14" s="120">
        <v>5120</v>
      </c>
      <c r="C14" s="120">
        <v>5120</v>
      </c>
      <c r="D14" s="120">
        <v>5512</v>
      </c>
      <c r="E14" s="31">
        <v>5368</v>
      </c>
      <c r="F14" s="31">
        <v>5296</v>
      </c>
      <c r="G14" s="58">
        <f>+(B14-C14)/C14</f>
        <v>0</v>
      </c>
    </row>
    <row r="15" spans="1:7" ht="15">
      <c r="A15" s="291" t="s">
        <v>535</v>
      </c>
      <c r="B15" s="129" t="s">
        <v>772</v>
      </c>
      <c r="C15" s="120">
        <v>1463</v>
      </c>
      <c r="D15" s="137" t="s">
        <v>711</v>
      </c>
      <c r="E15" s="137" t="s">
        <v>711</v>
      </c>
      <c r="F15" s="137" t="s">
        <v>711</v>
      </c>
      <c r="G15" s="137" t="s">
        <v>711</v>
      </c>
    </row>
    <row r="16" spans="1:7" s="151" customFormat="1" ht="15">
      <c r="A16" s="28" t="s">
        <v>541</v>
      </c>
      <c r="B16" s="120">
        <v>2702</v>
      </c>
      <c r="C16" s="120">
        <v>2742</v>
      </c>
      <c r="D16" s="31">
        <v>2993</v>
      </c>
      <c r="E16" s="31">
        <v>3844</v>
      </c>
      <c r="F16" s="31">
        <v>6343</v>
      </c>
      <c r="G16" s="58">
        <f>+(B16-C16)/C16</f>
        <v>-0.014587892049598834</v>
      </c>
    </row>
    <row r="17" spans="1:7" ht="15">
      <c r="A17" s="28" t="s">
        <v>757</v>
      </c>
      <c r="B17" s="129" t="s">
        <v>772</v>
      </c>
      <c r="C17" s="31">
        <v>126</v>
      </c>
      <c r="D17" s="31">
        <v>124</v>
      </c>
      <c r="E17" s="31">
        <v>273</v>
      </c>
      <c r="F17" s="27">
        <v>235</v>
      </c>
      <c r="G17" s="292" t="s">
        <v>711</v>
      </c>
    </row>
    <row r="18" spans="1:7" ht="15">
      <c r="A18" s="28" t="s">
        <v>858</v>
      </c>
      <c r="B18" s="129">
        <v>399</v>
      </c>
      <c r="C18" s="129">
        <v>573</v>
      </c>
      <c r="D18" s="31">
        <v>856</v>
      </c>
      <c r="E18" s="31">
        <v>886</v>
      </c>
      <c r="F18" s="27">
        <v>1253</v>
      </c>
      <c r="G18" s="292" t="s">
        <v>711</v>
      </c>
    </row>
    <row r="19" spans="1:7" ht="15">
      <c r="A19" s="28" t="s">
        <v>760</v>
      </c>
      <c r="B19" s="120">
        <v>12116</v>
      </c>
      <c r="C19" s="31">
        <v>10781</v>
      </c>
      <c r="D19" s="31">
        <v>13482</v>
      </c>
      <c r="E19" s="31">
        <v>11400</v>
      </c>
      <c r="F19" s="31">
        <v>15553</v>
      </c>
      <c r="G19" s="58">
        <f>+(B19-C19)/C19</f>
        <v>0.12382895835265745</v>
      </c>
    </row>
    <row r="20" spans="1:7" ht="15">
      <c r="A20" s="28" t="s">
        <v>761</v>
      </c>
      <c r="B20" s="120">
        <v>861</v>
      </c>
      <c r="C20" s="31">
        <v>880</v>
      </c>
      <c r="D20" s="31">
        <v>1042</v>
      </c>
      <c r="E20" s="31">
        <v>1735</v>
      </c>
      <c r="F20" s="31">
        <v>2819</v>
      </c>
      <c r="G20" s="58">
        <f>+(B20-C20)/C20</f>
        <v>-0.02159090909090909</v>
      </c>
    </row>
    <row r="21" spans="1:7" ht="15">
      <c r="A21" s="291" t="s">
        <v>762</v>
      </c>
      <c r="B21" s="129">
        <v>184</v>
      </c>
      <c r="C21" s="120">
        <v>197</v>
      </c>
      <c r="D21" s="120">
        <v>342</v>
      </c>
      <c r="E21" s="31">
        <v>757</v>
      </c>
      <c r="F21" s="31">
        <v>777</v>
      </c>
      <c r="G21" s="292" t="s">
        <v>711</v>
      </c>
    </row>
    <row r="22" ht="12" customHeight="1"/>
    <row r="23" spans="1:7" ht="14.25">
      <c r="A23" s="13" t="s">
        <v>674</v>
      </c>
      <c r="B23" s="293">
        <f>SUM(B12:B21)</f>
        <v>58546</v>
      </c>
      <c r="C23" s="293">
        <f>SUM(C12:C21)</f>
        <v>65041</v>
      </c>
      <c r="D23" s="14">
        <f>SUM(D12:D22)</f>
        <v>40949</v>
      </c>
      <c r="E23" s="14">
        <f>SUM(E12:E22)</f>
        <v>36140</v>
      </c>
      <c r="F23" s="14">
        <f>SUM(F12:F22)</f>
        <v>46001</v>
      </c>
      <c r="G23" s="16">
        <f>+(B23-C23)/C23</f>
        <v>-0.09986008825202565</v>
      </c>
    </row>
    <row r="24" spans="1:7" ht="9.75" customHeight="1">
      <c r="A24" s="2"/>
      <c r="B24" s="2"/>
      <c r="G24" s="59"/>
    </row>
    <row r="25" spans="1:7" ht="9.75" customHeight="1">
      <c r="A25" s="2"/>
      <c r="B25" s="2"/>
      <c r="G25" s="59"/>
    </row>
    <row r="26" spans="1:7" ht="15.75">
      <c r="A26" s="525" t="s">
        <v>1153</v>
      </c>
      <c r="B26" s="525"/>
      <c r="C26" s="525"/>
      <c r="D26" s="525"/>
      <c r="E26" s="525"/>
      <c r="F26" s="525"/>
      <c r="G26" s="525"/>
    </row>
    <row r="27" spans="1:7" ht="15.75">
      <c r="A27" s="526" t="s">
        <v>1144</v>
      </c>
      <c r="B27" s="526"/>
      <c r="C27" s="526"/>
      <c r="D27" s="526"/>
      <c r="E27" s="526"/>
      <c r="F27" s="526"/>
      <c r="G27" s="526"/>
    </row>
    <row r="28" ht="9.75" customHeight="1"/>
    <row r="29" ht="9.75" customHeight="1"/>
    <row r="30" spans="1:7" ht="14.25">
      <c r="A30" s="480" t="s">
        <v>752</v>
      </c>
      <c r="B30" s="480" t="s">
        <v>540</v>
      </c>
      <c r="C30" s="480" t="s">
        <v>528</v>
      </c>
      <c r="D30" s="480" t="s">
        <v>1134</v>
      </c>
      <c r="E30" s="480" t="s">
        <v>1113</v>
      </c>
      <c r="F30" s="480" t="s">
        <v>1136</v>
      </c>
      <c r="G30" s="480" t="s">
        <v>713</v>
      </c>
    </row>
    <row r="31" spans="1:7" ht="15">
      <c r="A31" s="482" t="s">
        <v>753</v>
      </c>
      <c r="B31" s="482"/>
      <c r="C31" s="482"/>
      <c r="D31" s="482"/>
      <c r="E31" s="492"/>
      <c r="F31" s="482"/>
      <c r="G31" s="492" t="s">
        <v>932</v>
      </c>
    </row>
    <row r="32" ht="12" customHeight="1"/>
    <row r="33" spans="1:7" ht="15">
      <c r="A33" s="28" t="s">
        <v>754</v>
      </c>
      <c r="B33" s="120">
        <v>330542</v>
      </c>
      <c r="C33" s="31">
        <v>412683</v>
      </c>
      <c r="D33" s="31">
        <v>401009</v>
      </c>
      <c r="E33" s="31">
        <v>331460</v>
      </c>
      <c r="F33" s="31">
        <v>414467</v>
      </c>
      <c r="G33" s="58">
        <f>+(B33-C33)/C33</f>
        <v>-0.1990413949690198</v>
      </c>
    </row>
    <row r="34" spans="1:7" ht="15">
      <c r="A34" s="28" t="s">
        <v>542</v>
      </c>
      <c r="B34" s="120">
        <v>4135</v>
      </c>
      <c r="C34" s="27">
        <v>0</v>
      </c>
      <c r="D34" s="27">
        <v>0</v>
      </c>
      <c r="E34" s="27">
        <v>0</v>
      </c>
      <c r="F34" s="27">
        <v>0</v>
      </c>
      <c r="G34" s="137" t="s">
        <v>711</v>
      </c>
    </row>
    <row r="35" spans="1:7" ht="15">
      <c r="A35" s="28" t="s">
        <v>755</v>
      </c>
      <c r="B35" s="120">
        <v>151198</v>
      </c>
      <c r="C35" s="31">
        <v>153552</v>
      </c>
      <c r="D35" s="31">
        <v>195749</v>
      </c>
      <c r="E35" s="31">
        <v>116079</v>
      </c>
      <c r="F35" s="31">
        <v>81806</v>
      </c>
      <c r="G35" s="58">
        <f>+(B35-C35)/C35</f>
        <v>-0.015330311555694488</v>
      </c>
    </row>
    <row r="36" spans="1:7" ht="15">
      <c r="A36" s="28" t="s">
        <v>543</v>
      </c>
      <c r="B36" s="120">
        <v>103813</v>
      </c>
      <c r="C36" s="120">
        <v>235245</v>
      </c>
      <c r="D36" s="120">
        <v>255798</v>
      </c>
      <c r="E36" s="120">
        <v>489757</v>
      </c>
      <c r="F36" s="120">
        <v>697282</v>
      </c>
      <c r="G36" s="58">
        <f>+(B36-C36)/C36</f>
        <v>-0.5587026291738401</v>
      </c>
    </row>
    <row r="37" spans="1:7" ht="15">
      <c r="A37" s="291" t="s">
        <v>857</v>
      </c>
      <c r="B37" s="129">
        <v>47058</v>
      </c>
      <c r="C37" s="129">
        <v>80402</v>
      </c>
      <c r="D37" s="120">
        <v>134957</v>
      </c>
      <c r="E37" s="27">
        <v>44909</v>
      </c>
      <c r="F37" s="27" t="s">
        <v>772</v>
      </c>
      <c r="G37" s="58">
        <f>+(B37-C37)/C37</f>
        <v>-0.4147160518395065</v>
      </c>
    </row>
    <row r="38" spans="1:7" ht="15">
      <c r="A38" s="28" t="s">
        <v>760</v>
      </c>
      <c r="B38" s="120">
        <v>120089</v>
      </c>
      <c r="C38" s="31">
        <v>106220</v>
      </c>
      <c r="D38" s="31">
        <v>91653</v>
      </c>
      <c r="E38" s="31">
        <v>44038</v>
      </c>
      <c r="F38" s="31">
        <v>3535</v>
      </c>
      <c r="G38" s="58">
        <f>+(B38-C38)/C38</f>
        <v>0.13056863114291095</v>
      </c>
    </row>
    <row r="39" spans="1:7" ht="15">
      <c r="A39" s="28" t="s">
        <v>761</v>
      </c>
      <c r="B39" s="120">
        <v>4179</v>
      </c>
      <c r="C39" s="31">
        <v>6251</v>
      </c>
      <c r="D39" s="31">
        <v>5537</v>
      </c>
      <c r="E39" s="31">
        <v>28637</v>
      </c>
      <c r="F39" s="31">
        <v>39848</v>
      </c>
      <c r="G39" s="58">
        <f>+(B39-C39)/C39</f>
        <v>-0.3314669652855543</v>
      </c>
    </row>
    <row r="40" spans="1:7" ht="15">
      <c r="A40" s="28" t="s">
        <v>958</v>
      </c>
      <c r="B40" s="129" t="s">
        <v>772</v>
      </c>
      <c r="C40" s="27">
        <v>412683</v>
      </c>
      <c r="D40" s="31">
        <v>401009</v>
      </c>
      <c r="E40" s="27">
        <v>331460</v>
      </c>
      <c r="F40" s="137">
        <v>414467</v>
      </c>
      <c r="G40" s="137" t="s">
        <v>711</v>
      </c>
    </row>
    <row r="41" spans="1:7" ht="15">
      <c r="A41" s="28" t="s">
        <v>762</v>
      </c>
      <c r="B41" s="120">
        <v>1251</v>
      </c>
      <c r="C41" s="31">
        <v>330</v>
      </c>
      <c r="D41" s="31">
        <v>43570</v>
      </c>
      <c r="E41" s="31">
        <v>35638</v>
      </c>
      <c r="F41" s="31">
        <v>44953</v>
      </c>
      <c r="G41" s="58">
        <f>+(B41-C41)/C41</f>
        <v>2.790909090909091</v>
      </c>
    </row>
    <row r="42" ht="12" customHeight="1"/>
    <row r="43" spans="1:7" ht="14.25">
      <c r="A43" s="13" t="s">
        <v>674</v>
      </c>
      <c r="B43" s="14">
        <f>SUM(B33:B41)</f>
        <v>762265</v>
      </c>
      <c r="C43" s="14">
        <f>SUM(C33:C41)</f>
        <v>1407366</v>
      </c>
      <c r="D43" s="14">
        <f>SUM(D33:D41)</f>
        <v>1529282</v>
      </c>
      <c r="E43" s="14">
        <f>SUM(E33:E41)</f>
        <v>1421978</v>
      </c>
      <c r="F43" s="14">
        <f>SUM(F33:F41)</f>
        <v>1696358</v>
      </c>
      <c r="G43" s="16">
        <f>+(B43-C43)/C43</f>
        <v>-0.4583747227089471</v>
      </c>
    </row>
    <row r="45" spans="1:7" ht="25.5" customHeight="1">
      <c r="A45" s="520" t="s">
        <v>457</v>
      </c>
      <c r="B45" s="520"/>
      <c r="C45" s="520"/>
      <c r="D45" s="520"/>
      <c r="E45" s="520"/>
      <c r="F45" s="520"/>
      <c r="G45" s="520"/>
    </row>
    <row r="46" ht="12.75">
      <c r="A46" s="66" t="s">
        <v>1171</v>
      </c>
    </row>
    <row r="47" ht="12.75">
      <c r="A47" s="66" t="s">
        <v>458</v>
      </c>
    </row>
    <row r="48" spans="1:2" ht="12.75">
      <c r="A48" s="66" t="s">
        <v>1172</v>
      </c>
      <c r="B48" s="148"/>
    </row>
    <row r="49" spans="1:7" ht="26.25" customHeight="1">
      <c r="A49" s="520" t="s">
        <v>1173</v>
      </c>
      <c r="B49" s="520"/>
      <c r="C49" s="520"/>
      <c r="D49" s="520"/>
      <c r="E49" s="520"/>
      <c r="F49" s="520"/>
      <c r="G49" s="520"/>
    </row>
    <row r="50" spans="1:7" ht="40.5" customHeight="1">
      <c r="A50" s="520" t="s">
        <v>1174</v>
      </c>
      <c r="B50" s="520"/>
      <c r="C50" s="520"/>
      <c r="D50" s="520"/>
      <c r="E50" s="520"/>
      <c r="F50" s="520"/>
      <c r="G50" s="520"/>
    </row>
    <row r="51" spans="1:2" ht="12.75">
      <c r="A51" s="66"/>
      <c r="B51" s="66"/>
    </row>
    <row r="52" spans="1:2" ht="12.75">
      <c r="A52" s="66"/>
      <c r="B52" s="66"/>
    </row>
    <row r="53" spans="1:2" ht="12.75">
      <c r="A53" s="66"/>
      <c r="B53" s="66"/>
    </row>
    <row r="54" spans="1:2" ht="12.75">
      <c r="A54" s="66"/>
      <c r="B54" s="66"/>
    </row>
    <row r="55" spans="1:2" ht="12.75">
      <c r="A55" s="66"/>
      <c r="B55" s="66"/>
    </row>
    <row r="56" spans="1:2" ht="12.75">
      <c r="A56" s="66"/>
      <c r="B56" s="66"/>
    </row>
    <row r="57" spans="1:2" ht="12.75">
      <c r="A57" s="66"/>
      <c r="B57" s="66"/>
    </row>
    <row r="58" spans="1:2" ht="12.75">
      <c r="A58" s="66"/>
      <c r="B58" s="66"/>
    </row>
  </sheetData>
  <mergeCells count="8">
    <mergeCell ref="A50:G50"/>
    <mergeCell ref="A27:G27"/>
    <mergeCell ref="A4:G4"/>
    <mergeCell ref="A5:G5"/>
    <mergeCell ref="A6:G6"/>
    <mergeCell ref="A26:G26"/>
    <mergeCell ref="A45:G45"/>
    <mergeCell ref="A49:G49"/>
  </mergeCells>
  <printOptions horizontalCentered="1"/>
  <pageMargins left="0.75" right="0.75" top="1" bottom="1" header="0" footer="0"/>
  <pageSetup horizontalDpi="300" verticalDpi="300" orientation="portrait" scale="90" r:id="rId1"/>
  <headerFooter alignWithMargins="0">
    <oddFooter>&amp;C79</oddFooter>
  </headerFooter>
</worksheet>
</file>

<file path=xl/worksheets/sheet66.xml><?xml version="1.0" encoding="utf-8"?>
<worksheet xmlns="http://schemas.openxmlformats.org/spreadsheetml/2006/main" xmlns:r="http://schemas.openxmlformats.org/officeDocument/2006/relationships">
  <dimension ref="B9:B9"/>
  <sheetViews>
    <sheetView workbookViewId="0" topLeftCell="A1">
      <selection activeCell="E20" sqref="E20"/>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&amp;C80</oddFooter>
  </headerFooter>
</worksheet>
</file>

<file path=xl/worksheets/sheet67.xml><?xml version="1.0" encoding="utf-8"?>
<worksheet xmlns="http://schemas.openxmlformats.org/spreadsheetml/2006/main" xmlns:r="http://schemas.openxmlformats.org/officeDocument/2006/relationships">
  <dimension ref="B13:H23"/>
  <sheetViews>
    <sheetView workbookViewId="0" topLeftCell="A10">
      <selection activeCell="C14" sqref="C14:G14"/>
    </sheetView>
  </sheetViews>
  <sheetFormatPr defaultColWidth="11.421875" defaultRowHeight="12.75"/>
  <cols>
    <col min="1" max="1" width="11.57421875" style="0" customWidth="1"/>
    <col min="2" max="2" width="0.42578125" style="0" customWidth="1"/>
    <col min="7" max="7" width="30.28125" style="0" customWidth="1"/>
    <col min="8" max="8" width="0.42578125" style="0" customWidth="1"/>
  </cols>
  <sheetData>
    <row r="13" spans="2:8" ht="2.25" customHeight="1">
      <c r="B13" s="479"/>
      <c r="C13" s="493"/>
      <c r="D13" s="494"/>
      <c r="E13" s="493"/>
      <c r="F13" s="493"/>
      <c r="G13" s="493"/>
      <c r="H13" s="479"/>
    </row>
    <row r="14" spans="2:8" ht="30">
      <c r="B14" s="478"/>
      <c r="C14" s="533" t="s">
        <v>643</v>
      </c>
      <c r="D14" s="533"/>
      <c r="E14" s="533"/>
      <c r="F14" s="533"/>
      <c r="G14" s="533"/>
      <c r="H14" s="478"/>
    </row>
    <row r="15" spans="2:8" ht="12.75">
      <c r="B15" s="478"/>
      <c r="C15" s="471"/>
      <c r="D15" s="471"/>
      <c r="E15" s="471"/>
      <c r="F15" s="471"/>
      <c r="G15" s="471"/>
      <c r="H15" s="478"/>
    </row>
    <row r="16" spans="2:8" ht="12.75">
      <c r="B16" s="478"/>
      <c r="C16" s="532" t="s">
        <v>644</v>
      </c>
      <c r="D16" s="532"/>
      <c r="E16" s="532"/>
      <c r="F16" s="532"/>
      <c r="G16" s="532"/>
      <c r="H16" s="478"/>
    </row>
    <row r="17" spans="2:8" ht="12.75">
      <c r="B17" s="478"/>
      <c r="C17" s="532"/>
      <c r="D17" s="532"/>
      <c r="E17" s="532"/>
      <c r="F17" s="532"/>
      <c r="G17" s="532"/>
      <c r="H17" s="478"/>
    </row>
    <row r="18" spans="2:8" ht="12.75">
      <c r="B18" s="478"/>
      <c r="C18" s="532"/>
      <c r="D18" s="532"/>
      <c r="E18" s="532"/>
      <c r="F18" s="532"/>
      <c r="G18" s="532"/>
      <c r="H18" s="478"/>
    </row>
    <row r="19" spans="2:8" ht="12.75">
      <c r="B19" s="478"/>
      <c r="C19" s="532"/>
      <c r="D19" s="532"/>
      <c r="E19" s="532"/>
      <c r="F19" s="532"/>
      <c r="G19" s="532"/>
      <c r="H19" s="478"/>
    </row>
    <row r="20" spans="2:8" ht="12.75">
      <c r="B20" s="478"/>
      <c r="C20" s="532"/>
      <c r="D20" s="532"/>
      <c r="E20" s="532"/>
      <c r="F20" s="532"/>
      <c r="G20" s="532"/>
      <c r="H20" s="478"/>
    </row>
    <row r="21" spans="2:8" ht="12.75">
      <c r="B21" s="478"/>
      <c r="C21" s="532"/>
      <c r="D21" s="532"/>
      <c r="E21" s="532"/>
      <c r="F21" s="532"/>
      <c r="G21" s="532"/>
      <c r="H21" s="478"/>
    </row>
    <row r="22" spans="2:8" ht="26.25" customHeight="1">
      <c r="B22" s="478"/>
      <c r="C22" s="532"/>
      <c r="D22" s="532"/>
      <c r="E22" s="532"/>
      <c r="F22" s="532"/>
      <c r="G22" s="532"/>
      <c r="H22" s="478"/>
    </row>
    <row r="23" spans="2:8" ht="2.25" customHeight="1">
      <c r="B23" s="479"/>
      <c r="C23" s="493"/>
      <c r="D23" s="493"/>
      <c r="E23" s="493"/>
      <c r="F23" s="493"/>
      <c r="G23" s="493"/>
      <c r="H23" s="479"/>
    </row>
  </sheetData>
  <mergeCells count="2">
    <mergeCell ref="C14:G14"/>
    <mergeCell ref="C16:G22"/>
  </mergeCells>
  <printOptions horizontalCentered="1"/>
  <pageMargins left="0.75" right="0.75" top="1" bottom="1" header="0" footer="0"/>
  <pageSetup horizontalDpi="300" verticalDpi="300" orientation="portrait" scale="90" r:id="rId1"/>
  <headerFooter alignWithMargins="0">
    <oddFooter>&amp;C81</oddFooter>
  </headerFooter>
</worksheet>
</file>

<file path=xl/worksheets/sheet68.xml><?xml version="1.0" encoding="utf-8"?>
<worksheet xmlns="http://schemas.openxmlformats.org/spreadsheetml/2006/main" xmlns:r="http://schemas.openxmlformats.org/officeDocument/2006/relationships">
  <dimension ref="B9:B9"/>
  <sheetViews>
    <sheetView workbookViewId="0" topLeftCell="A1">
      <selection activeCell="C23" sqref="C23"/>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&amp;C82</oddFooter>
  </headerFooter>
</worksheet>
</file>

<file path=xl/worksheets/sheet69.xml><?xml version="1.0" encoding="utf-8"?>
<worksheet xmlns="http://schemas.openxmlformats.org/spreadsheetml/2006/main" xmlns:r="http://schemas.openxmlformats.org/officeDocument/2006/relationships">
  <dimension ref="B9:B9"/>
  <sheetViews>
    <sheetView workbookViewId="0" topLeftCell="A1">
      <selection activeCell="C23" sqref="C23"/>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&amp;C90</oddFooter>
  </headerFooter>
</worksheet>
</file>

<file path=xl/worksheets/sheet7.xml><?xml version="1.0" encoding="utf-8"?>
<worksheet xmlns="http://schemas.openxmlformats.org/spreadsheetml/2006/main" xmlns:r="http://schemas.openxmlformats.org/officeDocument/2006/relationships">
  <dimension ref="A1:J38"/>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677</v>
      </c>
      <c r="B5" s="523"/>
      <c r="C5" s="523"/>
      <c r="D5" s="523"/>
      <c r="E5" s="523"/>
      <c r="F5" s="524"/>
    </row>
    <row r="6" spans="1:6" ht="18.75" thickBot="1">
      <c r="A6" s="516" t="s">
        <v>905</v>
      </c>
      <c r="B6" s="517"/>
      <c r="C6" s="517"/>
      <c r="D6" s="517"/>
      <c r="E6" s="517"/>
      <c r="F6" s="518"/>
    </row>
    <row r="7" spans="1:6" ht="15.75">
      <c r="A7" s="525" t="s">
        <v>980</v>
      </c>
      <c r="B7" s="525"/>
      <c r="C7" s="525"/>
      <c r="D7" s="525"/>
      <c r="E7" s="525"/>
      <c r="F7" s="525"/>
    </row>
    <row r="8" spans="1:6" ht="15.75">
      <c r="A8" s="526" t="s">
        <v>981</v>
      </c>
      <c r="B8" s="526"/>
      <c r="C8" s="526"/>
      <c r="D8" s="526"/>
      <c r="E8" s="526"/>
      <c r="F8" s="526"/>
    </row>
    <row r="9" spans="1:6" ht="15">
      <c r="A9" s="22"/>
      <c r="B9" s="2"/>
      <c r="C9" s="2"/>
      <c r="D9" s="2"/>
      <c r="E9" s="5"/>
      <c r="F9" s="5"/>
    </row>
    <row r="10" spans="1:6" ht="15">
      <c r="A10" s="22"/>
      <c r="B10" s="2"/>
      <c r="C10" s="2"/>
      <c r="D10" s="2"/>
      <c r="E10" s="5"/>
      <c r="F10" s="5"/>
    </row>
    <row r="11" spans="1:6" ht="14.25">
      <c r="A11" s="7" t="s">
        <v>661</v>
      </c>
      <c r="B11" s="7" t="s">
        <v>735</v>
      </c>
      <c r="C11" s="7" t="s">
        <v>712</v>
      </c>
      <c r="D11" s="7" t="s">
        <v>735</v>
      </c>
      <c r="E11" s="7" t="s">
        <v>712</v>
      </c>
      <c r="F11" s="7" t="s">
        <v>713</v>
      </c>
    </row>
    <row r="12" spans="1:6" ht="15">
      <c r="A12" s="23" t="s">
        <v>714</v>
      </c>
      <c r="B12" s="23" t="s">
        <v>736</v>
      </c>
      <c r="C12" s="24" t="s">
        <v>715</v>
      </c>
      <c r="D12" s="23" t="s">
        <v>736</v>
      </c>
      <c r="E12" s="24" t="s">
        <v>715</v>
      </c>
      <c r="F12" s="159" t="s">
        <v>884</v>
      </c>
    </row>
    <row r="13" spans="1:6" ht="15">
      <c r="A13" s="9"/>
      <c r="B13" s="25" t="s">
        <v>979</v>
      </c>
      <c r="C13" s="9" t="s">
        <v>716</v>
      </c>
      <c r="D13" s="26" t="s">
        <v>921</v>
      </c>
      <c r="E13" s="9" t="s">
        <v>716</v>
      </c>
      <c r="F13" s="26"/>
    </row>
    <row r="14" spans="1:6" ht="15">
      <c r="A14" s="5" t="s">
        <v>686</v>
      </c>
      <c r="B14" s="19"/>
      <c r="C14" s="20"/>
      <c r="D14" s="19"/>
      <c r="E14" s="20"/>
      <c r="F14" s="20"/>
    </row>
    <row r="15" spans="1:6" ht="15">
      <c r="A15" s="5" t="s">
        <v>678</v>
      </c>
      <c r="B15" s="19">
        <v>541436</v>
      </c>
      <c r="C15" s="51">
        <f>+B15/B18</f>
        <v>0.47334983332444514</v>
      </c>
      <c r="D15" s="123">
        <v>440309</v>
      </c>
      <c r="E15" s="20">
        <f>+D15/D18</f>
        <v>0.47060363863338556</v>
      </c>
      <c r="F15" s="12">
        <f>+(B15-D15)/D15</f>
        <v>0.22967279796688234</v>
      </c>
    </row>
    <row r="16" spans="1:6" ht="15">
      <c r="A16" s="5" t="s">
        <v>679</v>
      </c>
      <c r="B16" s="19">
        <v>602403</v>
      </c>
      <c r="C16" s="51">
        <f>+B16/B18</f>
        <v>0.5266501666755549</v>
      </c>
      <c r="D16" s="123">
        <v>495317</v>
      </c>
      <c r="E16" s="20">
        <f>+D16/D18</f>
        <v>0.5293963613666144</v>
      </c>
      <c r="F16" s="12">
        <f>+(B16-D16)/D16</f>
        <v>0.21619690016696377</v>
      </c>
    </row>
    <row r="17" spans="1:6" ht="15">
      <c r="A17" s="5" t="s">
        <v>686</v>
      </c>
      <c r="B17" s="11"/>
      <c r="C17" s="12"/>
      <c r="D17" s="11"/>
      <c r="E17" s="12"/>
      <c r="F17" s="12"/>
    </row>
    <row r="18" spans="1:6" ht="14.25">
      <c r="A18" s="13" t="s">
        <v>674</v>
      </c>
      <c r="B18" s="21">
        <f>SUM(B15:B17)</f>
        <v>1143839</v>
      </c>
      <c r="C18" s="16">
        <f>SUM(C15:C17)</f>
        <v>1</v>
      </c>
      <c r="D18" s="21">
        <f>SUM(D15:D17)</f>
        <v>935626</v>
      </c>
      <c r="E18" s="16">
        <f>SUM(E15:E17)</f>
        <v>1</v>
      </c>
      <c r="F18" s="16">
        <f>+(B18/D18)-1</f>
        <v>0.22253870670545717</v>
      </c>
    </row>
    <row r="19" spans="1:6" ht="15">
      <c r="A19" s="5" t="s">
        <v>686</v>
      </c>
      <c r="B19" s="19"/>
      <c r="C19" s="20"/>
      <c r="D19" s="19"/>
      <c r="E19" s="20"/>
      <c r="F19" s="20"/>
    </row>
    <row r="20" spans="1:6" ht="12.75">
      <c r="A20" s="69" t="s">
        <v>923</v>
      </c>
      <c r="B20" s="18"/>
      <c r="C20" s="18"/>
      <c r="D20" s="18"/>
      <c r="E20" s="18"/>
      <c r="F20" s="18"/>
    </row>
    <row r="21" spans="1:6" ht="12.75">
      <c r="A21" s="163"/>
      <c r="B21" s="18"/>
      <c r="C21" s="18"/>
      <c r="D21" s="18"/>
      <c r="E21" s="18"/>
      <c r="F21" s="18"/>
    </row>
    <row r="22" spans="1:6" ht="12.75">
      <c r="A22" s="165" t="s">
        <v>994</v>
      </c>
      <c r="B22" s="125"/>
      <c r="C22" s="18"/>
      <c r="D22" s="18"/>
      <c r="E22" s="18"/>
      <c r="F22" s="18"/>
    </row>
    <row r="23" spans="1:6" ht="12.75">
      <c r="A23" s="165" t="s">
        <v>995</v>
      </c>
      <c r="B23" s="125"/>
      <c r="C23" s="18"/>
      <c r="D23" s="18"/>
      <c r="E23" s="18"/>
      <c r="F23" s="18"/>
    </row>
    <row r="24" spans="1:6" ht="12.75">
      <c r="A24" s="165"/>
      <c r="B24" s="125"/>
      <c r="C24" s="18"/>
      <c r="D24" s="18"/>
      <c r="E24" s="18"/>
      <c r="F24" s="18"/>
    </row>
    <row r="25" spans="1:10" ht="14.25">
      <c r="A25" s="7"/>
      <c r="B25" s="7" t="s">
        <v>735</v>
      </c>
      <c r="C25" s="7" t="s">
        <v>712</v>
      </c>
      <c r="D25" s="7" t="s">
        <v>735</v>
      </c>
      <c r="E25" s="7" t="s">
        <v>712</v>
      </c>
      <c r="F25" s="7" t="s">
        <v>713</v>
      </c>
      <c r="I25" t="s">
        <v>629</v>
      </c>
      <c r="J25" t="s">
        <v>630</v>
      </c>
    </row>
    <row r="26" spans="1:10" ht="15">
      <c r="A26" s="23"/>
      <c r="B26" s="23" t="s">
        <v>736</v>
      </c>
      <c r="C26" s="24" t="s">
        <v>715</v>
      </c>
      <c r="D26" s="23" t="s">
        <v>736</v>
      </c>
      <c r="E26" s="24" t="s">
        <v>715</v>
      </c>
      <c r="F26" s="159" t="s">
        <v>884</v>
      </c>
      <c r="I26" t="s">
        <v>882</v>
      </c>
      <c r="J26">
        <v>2400</v>
      </c>
    </row>
    <row r="27" spans="1:6" ht="15">
      <c r="A27" s="9"/>
      <c r="B27" s="25" t="s">
        <v>979</v>
      </c>
      <c r="C27" s="9" t="s">
        <v>716</v>
      </c>
      <c r="D27" s="26" t="s">
        <v>921</v>
      </c>
      <c r="E27" s="9" t="s">
        <v>716</v>
      </c>
      <c r="F27" s="26"/>
    </row>
    <row r="28" spans="1:6" ht="39">
      <c r="A28" s="178" t="s">
        <v>904</v>
      </c>
      <c r="B28" s="219">
        <f>11186837.9337/7.48</f>
        <v>1495566.5686764705</v>
      </c>
      <c r="C28" s="225">
        <v>1</v>
      </c>
      <c r="D28" s="219">
        <f>10466822.42/6.81</f>
        <v>1536978.328928047</v>
      </c>
      <c r="E28" s="225">
        <v>1</v>
      </c>
      <c r="F28" s="225">
        <f>(B28-D28)/D28</f>
        <v>-0.026943620135788666</v>
      </c>
    </row>
    <row r="29" spans="1:6" ht="12.75" customHeight="1">
      <c r="A29" s="84"/>
      <c r="B29" s="35"/>
      <c r="C29" s="35"/>
      <c r="D29" s="35"/>
      <c r="E29" s="35"/>
      <c r="F29" s="35"/>
    </row>
    <row r="30" spans="1:6" ht="12.75">
      <c r="A30" s="86"/>
      <c r="B30" s="86"/>
      <c r="C30" s="86"/>
      <c r="D30" s="85"/>
      <c r="E30" s="18"/>
      <c r="F30" s="18"/>
    </row>
    <row r="33" spans="1:2" ht="12.75">
      <c r="A33">
        <v>1997</v>
      </c>
      <c r="B33">
        <v>97.91</v>
      </c>
    </row>
    <row r="34" spans="1:2" ht="12.75">
      <c r="A34">
        <v>1998</v>
      </c>
      <c r="B34">
        <v>332.629</v>
      </c>
    </row>
    <row r="35" spans="1:2" ht="12.75">
      <c r="A35">
        <v>1999</v>
      </c>
      <c r="B35">
        <v>534.803</v>
      </c>
    </row>
    <row r="36" spans="1:2" ht="12.75">
      <c r="A36" s="80">
        <v>2000</v>
      </c>
      <c r="B36">
        <v>841.85</v>
      </c>
    </row>
    <row r="37" spans="1:2" ht="12.75">
      <c r="A37" s="80">
        <v>2001</v>
      </c>
      <c r="B37">
        <v>935.626</v>
      </c>
    </row>
    <row r="38" spans="1:2" ht="12.75">
      <c r="A38" s="80">
        <v>2002</v>
      </c>
      <c r="B38">
        <f>+B18/1000</f>
        <v>1143.839</v>
      </c>
    </row>
  </sheetData>
  <mergeCells count="4">
    <mergeCell ref="A5:F5"/>
    <mergeCell ref="A7:F7"/>
    <mergeCell ref="A8:F8"/>
    <mergeCell ref="A6:F6"/>
  </mergeCells>
  <printOptions horizontalCentered="1"/>
  <pageMargins left="0.75" right="0.75" top="1" bottom="1" header="0" footer="0"/>
  <pageSetup horizontalDpi="300" verticalDpi="300" orientation="portrait" scale="90" r:id="rId2"/>
  <headerFooter alignWithMargins="0">
    <oddFooter>&amp;C21</oddFooter>
  </headerFooter>
  <drawing r:id="rId1"/>
</worksheet>
</file>

<file path=xl/worksheets/sheet70.xml><?xml version="1.0" encoding="utf-8"?>
<worksheet xmlns="http://schemas.openxmlformats.org/spreadsheetml/2006/main" xmlns:r="http://schemas.openxmlformats.org/officeDocument/2006/relationships">
  <dimension ref="B7:H17"/>
  <sheetViews>
    <sheetView workbookViewId="0" topLeftCell="A1">
      <selection activeCell="C8" sqref="C8:G8"/>
    </sheetView>
  </sheetViews>
  <sheetFormatPr defaultColWidth="11.421875" defaultRowHeight="12.75"/>
  <cols>
    <col min="1" max="1" width="11.7109375" style="0" customWidth="1"/>
    <col min="2" max="2" width="0.42578125" style="0" customWidth="1"/>
    <col min="7" max="7" width="30.28125" style="0" customWidth="1"/>
    <col min="8" max="8" width="0.42578125" style="0" customWidth="1"/>
  </cols>
  <sheetData>
    <row r="7" spans="2:8" ht="2.25" customHeight="1">
      <c r="B7" s="479"/>
      <c r="C7" s="493"/>
      <c r="D7" s="494"/>
      <c r="E7" s="493"/>
      <c r="F7" s="493"/>
      <c r="G7" s="493"/>
      <c r="H7" s="479"/>
    </row>
    <row r="8" spans="2:8" ht="30">
      <c r="B8" s="478"/>
      <c r="C8" s="533" t="s">
        <v>645</v>
      </c>
      <c r="D8" s="533"/>
      <c r="E8" s="533"/>
      <c r="F8" s="533"/>
      <c r="G8" s="533"/>
      <c r="H8" s="478"/>
    </row>
    <row r="9" spans="2:8" ht="12.75">
      <c r="B9" s="478"/>
      <c r="C9" s="471"/>
      <c r="D9" s="471"/>
      <c r="E9" s="471"/>
      <c r="F9" s="471"/>
      <c r="G9" s="471"/>
      <c r="H9" s="478"/>
    </row>
    <row r="10" spans="2:8" ht="12.75">
      <c r="B10" s="478"/>
      <c r="C10" s="532" t="s">
        <v>646</v>
      </c>
      <c r="D10" s="532"/>
      <c r="E10" s="532"/>
      <c r="F10" s="532"/>
      <c r="G10" s="532"/>
      <c r="H10" s="478"/>
    </row>
    <row r="11" spans="2:8" ht="12.75">
      <c r="B11" s="478"/>
      <c r="C11" s="532"/>
      <c r="D11" s="532"/>
      <c r="E11" s="532"/>
      <c r="F11" s="532"/>
      <c r="G11" s="532"/>
      <c r="H11" s="478"/>
    </row>
    <row r="12" spans="2:8" ht="12.75">
      <c r="B12" s="478"/>
      <c r="C12" s="532"/>
      <c r="D12" s="532"/>
      <c r="E12" s="532"/>
      <c r="F12" s="532"/>
      <c r="G12" s="532"/>
      <c r="H12" s="478"/>
    </row>
    <row r="13" spans="2:8" ht="12.75">
      <c r="B13" s="478"/>
      <c r="C13" s="532"/>
      <c r="D13" s="532"/>
      <c r="E13" s="532"/>
      <c r="F13" s="532"/>
      <c r="G13" s="532"/>
      <c r="H13" s="478"/>
    </row>
    <row r="14" spans="2:8" ht="12.75">
      <c r="B14" s="478"/>
      <c r="C14" s="532"/>
      <c r="D14" s="532"/>
      <c r="E14" s="532"/>
      <c r="F14" s="532"/>
      <c r="G14" s="532"/>
      <c r="H14" s="478"/>
    </row>
    <row r="15" spans="2:8" ht="12.75">
      <c r="B15" s="478"/>
      <c r="C15" s="532"/>
      <c r="D15" s="532"/>
      <c r="E15" s="532"/>
      <c r="F15" s="532"/>
      <c r="G15" s="532"/>
      <c r="H15" s="478"/>
    </row>
    <row r="16" spans="2:8" ht="27" customHeight="1">
      <c r="B16" s="478"/>
      <c r="C16" s="532"/>
      <c r="D16" s="532"/>
      <c r="E16" s="532"/>
      <c r="F16" s="532"/>
      <c r="G16" s="532"/>
      <c r="H16" s="478"/>
    </row>
    <row r="17" spans="2:8" ht="2.25" customHeight="1">
      <c r="B17" s="479"/>
      <c r="C17" s="493"/>
      <c r="D17" s="493"/>
      <c r="E17" s="493"/>
      <c r="F17" s="493"/>
      <c r="G17" s="493"/>
      <c r="H17" s="479"/>
    </row>
  </sheetData>
  <mergeCells count="2">
    <mergeCell ref="C8:G8"/>
    <mergeCell ref="C10:G16"/>
  </mergeCells>
  <printOptions horizontalCentered="1"/>
  <pageMargins left="0.75" right="0.75" top="1.1023622047244095" bottom="1" header="0" footer="0"/>
  <pageSetup horizontalDpi="300" verticalDpi="300" orientation="portrait" scale="90" r:id="rId1"/>
  <headerFooter alignWithMargins="0">
    <oddFooter>&amp;C91</oddFooter>
  </headerFooter>
</worksheet>
</file>

<file path=xl/worksheets/sheet71.xml><?xml version="1.0" encoding="utf-8"?>
<worksheet xmlns="http://schemas.openxmlformats.org/spreadsheetml/2006/main" xmlns:r="http://schemas.openxmlformats.org/officeDocument/2006/relationships">
  <dimension ref="B9:B9"/>
  <sheetViews>
    <sheetView workbookViewId="0" topLeftCell="A1">
      <selection activeCell="C23" sqref="C23"/>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&amp;C92</oddFooter>
  </headerFooter>
</worksheet>
</file>

<file path=xl/worksheets/sheet72.xml><?xml version="1.0" encoding="utf-8"?>
<worksheet xmlns="http://schemas.openxmlformats.org/spreadsheetml/2006/main" xmlns:r="http://schemas.openxmlformats.org/officeDocument/2006/relationships">
  <sheetPr>
    <pageSetUpPr fitToPage="1"/>
  </sheetPr>
  <dimension ref="A1:G55"/>
  <sheetViews>
    <sheetView workbookViewId="0" topLeftCell="A10">
      <selection activeCell="A5" sqref="A5:F5"/>
    </sheetView>
  </sheetViews>
  <sheetFormatPr defaultColWidth="11.421875" defaultRowHeight="12.75"/>
  <cols>
    <col min="1" max="1" width="26.7109375" style="0" customWidth="1"/>
    <col min="2" max="4" width="15.28125" style="0" customWidth="1"/>
    <col min="5" max="5" width="34.421875" style="0" customWidth="1"/>
    <col min="6" max="6" width="15.28125" style="0" customWidth="1"/>
    <col min="7" max="7" width="11.8515625" style="0" customWidth="1"/>
  </cols>
  <sheetData>
    <row r="1" ht="12.75">
      <c r="A1" s="1" t="s">
        <v>658</v>
      </c>
    </row>
    <row r="2" spans="1:6" ht="12.75">
      <c r="A2" s="1" t="s">
        <v>659</v>
      </c>
      <c r="B2" s="34"/>
      <c r="C2" s="34"/>
      <c r="D2" s="34"/>
      <c r="E2" s="34"/>
      <c r="F2" s="34"/>
    </row>
    <row r="3" spans="1:6" ht="12.75">
      <c r="A3" s="1"/>
      <c r="B3" s="34"/>
      <c r="C3" s="34"/>
      <c r="D3" s="34"/>
      <c r="E3" s="34"/>
      <c r="F3" s="34"/>
    </row>
    <row r="4" spans="1:6" ht="13.5" thickBot="1">
      <c r="A4" s="34"/>
      <c r="B4" s="34"/>
      <c r="C4" s="34"/>
      <c r="D4" s="34"/>
      <c r="E4" s="34"/>
      <c r="F4" s="34"/>
    </row>
    <row r="5" spans="1:7" ht="18.75" thickBot="1">
      <c r="A5" s="601" t="s">
        <v>660</v>
      </c>
      <c r="B5" s="602"/>
      <c r="C5" s="602"/>
      <c r="D5" s="602"/>
      <c r="E5" s="602"/>
      <c r="F5" s="603"/>
      <c r="G5" s="294"/>
    </row>
    <row r="6" spans="1:7" ht="15.75">
      <c r="A6" s="525" t="s">
        <v>459</v>
      </c>
      <c r="B6" s="525"/>
      <c r="C6" s="525"/>
      <c r="D6" s="525"/>
      <c r="E6" s="525"/>
      <c r="F6" s="525"/>
      <c r="G6" s="64"/>
    </row>
    <row r="7" spans="1:7" ht="15">
      <c r="A7" s="604" t="s">
        <v>460</v>
      </c>
      <c r="B7" s="604"/>
      <c r="C7" s="604"/>
      <c r="D7" s="604"/>
      <c r="E7" s="604"/>
      <c r="F7" s="604"/>
      <c r="G7" s="295"/>
    </row>
    <row r="8" spans="1:6" ht="15">
      <c r="A8" s="296"/>
      <c r="B8" s="34"/>
      <c r="C8" s="34"/>
      <c r="D8" s="34"/>
      <c r="E8" s="34"/>
      <c r="F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5" t="s">
        <v>666</v>
      </c>
      <c r="B13" s="299" t="s">
        <v>711</v>
      </c>
      <c r="C13" s="300">
        <v>1.5245</v>
      </c>
      <c r="D13" s="300">
        <v>0.25</v>
      </c>
      <c r="E13" s="299" t="s">
        <v>711</v>
      </c>
      <c r="F13" s="301" t="s">
        <v>711</v>
      </c>
    </row>
    <row r="14" spans="1:6" ht="15">
      <c r="A14" s="5" t="s">
        <v>667</v>
      </c>
      <c r="B14" s="299" t="s">
        <v>711</v>
      </c>
      <c r="C14" s="111">
        <v>1.52</v>
      </c>
      <c r="D14" s="111">
        <v>0.8</v>
      </c>
      <c r="E14" s="299" t="s">
        <v>711</v>
      </c>
      <c r="F14" s="301" t="s">
        <v>711</v>
      </c>
    </row>
    <row r="15" spans="1:6" ht="15">
      <c r="A15" s="5" t="s">
        <v>668</v>
      </c>
      <c r="B15" s="299" t="s">
        <v>711</v>
      </c>
      <c r="C15" s="111">
        <v>1.445</v>
      </c>
      <c r="D15" s="111">
        <v>0.9</v>
      </c>
      <c r="E15" s="299" t="s">
        <v>711</v>
      </c>
      <c r="F15" s="301" t="s">
        <v>711</v>
      </c>
    </row>
    <row r="16" spans="1:6" ht="15">
      <c r="A16" s="5" t="s">
        <v>669</v>
      </c>
      <c r="B16" s="299" t="s">
        <v>711</v>
      </c>
      <c r="C16" s="111">
        <v>1.39</v>
      </c>
      <c r="D16" s="111">
        <v>0.9</v>
      </c>
      <c r="E16" s="299" t="s">
        <v>711</v>
      </c>
      <c r="F16" s="301" t="s">
        <v>711</v>
      </c>
    </row>
    <row r="17" spans="1:6" ht="15">
      <c r="A17" s="5" t="s">
        <v>885</v>
      </c>
      <c r="B17" s="299" t="s">
        <v>711</v>
      </c>
      <c r="C17" s="111">
        <v>1.23</v>
      </c>
      <c r="D17" s="111">
        <v>0.72</v>
      </c>
      <c r="E17" s="299" t="s">
        <v>711</v>
      </c>
      <c r="F17" s="301" t="s">
        <v>711</v>
      </c>
    </row>
    <row r="18" spans="1:6" ht="15">
      <c r="A18" s="5" t="s">
        <v>670</v>
      </c>
      <c r="B18" s="299" t="s">
        <v>711</v>
      </c>
      <c r="C18" s="111">
        <v>1.95</v>
      </c>
      <c r="D18" s="111">
        <v>0.25</v>
      </c>
      <c r="E18" s="299" t="s">
        <v>711</v>
      </c>
      <c r="F18" s="301" t="s">
        <v>711</v>
      </c>
    </row>
    <row r="19" spans="1:6" ht="15">
      <c r="A19" s="5" t="s">
        <v>865</v>
      </c>
      <c r="B19" s="299" t="s">
        <v>711</v>
      </c>
      <c r="C19" s="111">
        <v>1.55</v>
      </c>
      <c r="D19" s="111">
        <v>0.8</v>
      </c>
      <c r="E19" s="299" t="s">
        <v>711</v>
      </c>
      <c r="F19" s="301" t="s">
        <v>711</v>
      </c>
    </row>
    <row r="20" spans="1:6" ht="15">
      <c r="A20" s="5" t="s">
        <v>671</v>
      </c>
      <c r="B20" s="299" t="s">
        <v>711</v>
      </c>
      <c r="C20" s="111">
        <v>1.69</v>
      </c>
      <c r="D20" s="111">
        <v>0.6</v>
      </c>
      <c r="E20" s="299" t="s">
        <v>711</v>
      </c>
      <c r="F20" s="301" t="s">
        <v>711</v>
      </c>
    </row>
    <row r="21" spans="1:6" ht="15">
      <c r="A21" s="5" t="s">
        <v>672</v>
      </c>
      <c r="B21" s="299" t="s">
        <v>711</v>
      </c>
      <c r="C21" s="111">
        <v>1.6</v>
      </c>
      <c r="D21" s="111">
        <v>0.68</v>
      </c>
      <c r="E21" s="299" t="s">
        <v>711</v>
      </c>
      <c r="F21" s="301" t="s">
        <v>711</v>
      </c>
    </row>
    <row r="22" spans="1:6" ht="15">
      <c r="A22" s="5" t="s">
        <v>818</v>
      </c>
      <c r="B22" s="299" t="s">
        <v>711</v>
      </c>
      <c r="C22" s="111">
        <v>1.89</v>
      </c>
      <c r="D22" s="111">
        <v>0.5</v>
      </c>
      <c r="E22" s="299" t="s">
        <v>711</v>
      </c>
      <c r="F22" s="301" t="s">
        <v>711</v>
      </c>
    </row>
    <row r="23" spans="1:6" ht="15">
      <c r="A23" s="5" t="s">
        <v>989</v>
      </c>
      <c r="B23" s="299" t="s">
        <v>711</v>
      </c>
      <c r="C23" s="111">
        <v>1.65</v>
      </c>
      <c r="D23" s="111">
        <v>0.65</v>
      </c>
      <c r="E23" s="299" t="s">
        <v>711</v>
      </c>
      <c r="F23" s="301" t="s">
        <v>711</v>
      </c>
    </row>
    <row r="24" spans="1:6" ht="15">
      <c r="A24" s="5" t="s">
        <v>673</v>
      </c>
      <c r="B24" s="299" t="s">
        <v>711</v>
      </c>
      <c r="C24" s="302">
        <v>1.58</v>
      </c>
      <c r="D24" s="302">
        <v>0.8</v>
      </c>
      <c r="E24" s="299" t="s">
        <v>711</v>
      </c>
      <c r="F24" s="301" t="s">
        <v>711</v>
      </c>
    </row>
    <row r="25" spans="1:6" ht="14.25">
      <c r="A25" s="495" t="s">
        <v>474</v>
      </c>
      <c r="B25" s="496" t="s">
        <v>711</v>
      </c>
      <c r="C25" s="497">
        <v>1.5644</v>
      </c>
      <c r="D25" s="497">
        <v>0.6875</v>
      </c>
      <c r="E25" s="496" t="s">
        <v>711</v>
      </c>
      <c r="F25" s="496" t="s">
        <v>711</v>
      </c>
    </row>
    <row r="26" spans="1:6" ht="14.25">
      <c r="A26" s="498" t="s">
        <v>475</v>
      </c>
      <c r="B26" s="499"/>
      <c r="C26" s="612">
        <f>+C25+D25</f>
        <v>2.2519</v>
      </c>
      <c r="D26" s="613"/>
      <c r="E26" s="499"/>
      <c r="F26" s="499"/>
    </row>
    <row r="27" spans="1:6" ht="14.25">
      <c r="A27" s="303" t="s">
        <v>476</v>
      </c>
      <c r="B27" s="304">
        <v>2.28</v>
      </c>
      <c r="C27" s="304">
        <v>1.5</v>
      </c>
      <c r="D27" s="304">
        <v>0.77</v>
      </c>
      <c r="E27" s="305" t="s">
        <v>711</v>
      </c>
      <c r="F27" s="305" t="s">
        <v>711</v>
      </c>
    </row>
    <row r="28" spans="1:6" ht="14.25">
      <c r="A28" s="306" t="s">
        <v>477</v>
      </c>
      <c r="B28" s="218"/>
      <c r="C28" s="614">
        <v>2.27</v>
      </c>
      <c r="D28" s="615"/>
      <c r="E28" s="307"/>
      <c r="F28" s="307"/>
    </row>
    <row r="29" spans="1:6" ht="10.5" customHeight="1">
      <c r="A29" s="3"/>
      <c r="B29" s="3"/>
      <c r="C29" s="3"/>
      <c r="D29" s="3"/>
      <c r="E29" s="3"/>
      <c r="F29" s="3"/>
    </row>
    <row r="30" spans="1:7" ht="12.75">
      <c r="A30" s="71" t="s">
        <v>483</v>
      </c>
      <c r="B30" s="18"/>
      <c r="C30" s="18"/>
      <c r="D30" s="18"/>
      <c r="E30" s="18"/>
      <c r="F30" s="18"/>
      <c r="G30" s="34"/>
    </row>
    <row r="31" spans="1:7" ht="27" customHeight="1">
      <c r="A31" s="519" t="s">
        <v>484</v>
      </c>
      <c r="B31" s="559"/>
      <c r="C31" s="559"/>
      <c r="D31" s="559"/>
      <c r="E31" s="559"/>
      <c r="F31" s="609"/>
      <c r="G31" s="34"/>
    </row>
    <row r="32" spans="1:7" ht="38.25" customHeight="1">
      <c r="A32" s="519" t="s">
        <v>0</v>
      </c>
      <c r="B32" s="559"/>
      <c r="C32" s="559"/>
      <c r="D32" s="559"/>
      <c r="E32" s="559"/>
      <c r="F32" s="609"/>
      <c r="G32" s="308"/>
    </row>
    <row r="33" spans="1:7" ht="12.75">
      <c r="A33" s="72" t="s">
        <v>485</v>
      </c>
      <c r="B33" s="18"/>
      <c r="C33" s="309"/>
      <c r="D33" s="18"/>
      <c r="E33" s="18"/>
      <c r="F33" s="18"/>
      <c r="G33" s="34"/>
    </row>
    <row r="34" spans="1:7" ht="13.5" thickBot="1">
      <c r="A34" s="72"/>
      <c r="B34" s="18"/>
      <c r="C34" s="309"/>
      <c r="D34" s="18"/>
      <c r="E34" s="18"/>
      <c r="F34" s="18"/>
      <c r="G34" s="34"/>
    </row>
    <row r="35" spans="1:7" ht="18.75" thickBot="1">
      <c r="A35" s="601" t="s">
        <v>677</v>
      </c>
      <c r="B35" s="602"/>
      <c r="C35" s="602"/>
      <c r="D35" s="602"/>
      <c r="E35" s="602"/>
      <c r="F35" s="603"/>
      <c r="G35" s="65"/>
    </row>
    <row r="36" spans="1:7" ht="15.75">
      <c r="A36" s="525" t="s">
        <v>459</v>
      </c>
      <c r="B36" s="525"/>
      <c r="C36" s="525"/>
      <c r="D36" s="525"/>
      <c r="E36" s="525"/>
      <c r="F36" s="525"/>
      <c r="G36" s="229"/>
    </row>
    <row r="37" spans="1:7" ht="15">
      <c r="A37" s="604" t="s">
        <v>460</v>
      </c>
      <c r="B37" s="604"/>
      <c r="C37" s="604"/>
      <c r="D37" s="604"/>
      <c r="E37" s="604"/>
      <c r="F37" s="604"/>
      <c r="G37" s="310"/>
    </row>
    <row r="38" spans="1:5" ht="15">
      <c r="A38" s="296"/>
      <c r="B38" s="34"/>
      <c r="C38" s="34"/>
      <c r="D38" s="34"/>
      <c r="E38" s="34"/>
    </row>
    <row r="39" spans="1:6" ht="15" customHeight="1">
      <c r="A39" s="597" t="s">
        <v>461</v>
      </c>
      <c r="B39" s="597" t="s">
        <v>462</v>
      </c>
      <c r="C39" s="605" t="s">
        <v>463</v>
      </c>
      <c r="D39" s="606"/>
      <c r="E39" s="597" t="s">
        <v>478</v>
      </c>
      <c r="F39" s="597" t="s">
        <v>465</v>
      </c>
    </row>
    <row r="40" spans="1:6" ht="25.5">
      <c r="A40" s="598"/>
      <c r="B40" s="598"/>
      <c r="C40" s="297" t="s">
        <v>466</v>
      </c>
      <c r="D40" s="297" t="s">
        <v>467</v>
      </c>
      <c r="E40" s="598"/>
      <c r="F40" s="598"/>
    </row>
    <row r="41" spans="1:6" ht="15" customHeight="1">
      <c r="A41" s="610" t="s">
        <v>714</v>
      </c>
      <c r="B41" s="599" t="s">
        <v>468</v>
      </c>
      <c r="C41" s="607" t="s">
        <v>469</v>
      </c>
      <c r="D41" s="608"/>
      <c r="E41" s="599" t="s">
        <v>479</v>
      </c>
      <c r="F41" s="599" t="s">
        <v>471</v>
      </c>
    </row>
    <row r="42" spans="1:6" ht="25.5" customHeight="1">
      <c r="A42" s="611"/>
      <c r="B42" s="600"/>
      <c r="C42" s="298" t="s">
        <v>472</v>
      </c>
      <c r="D42" s="298" t="s">
        <v>473</v>
      </c>
      <c r="E42" s="600"/>
      <c r="F42" s="600"/>
    </row>
    <row r="43" spans="1:6" ht="15">
      <c r="A43" s="114" t="s">
        <v>678</v>
      </c>
      <c r="B43" s="311" t="s">
        <v>711</v>
      </c>
      <c r="C43" s="312">
        <v>0.5</v>
      </c>
      <c r="D43" s="312">
        <v>1.71</v>
      </c>
      <c r="E43" s="313" t="s">
        <v>480</v>
      </c>
      <c r="F43" s="301" t="s">
        <v>711</v>
      </c>
    </row>
    <row r="44" spans="1:6" ht="15">
      <c r="A44" s="114"/>
      <c r="B44" s="311"/>
      <c r="C44" s="312"/>
      <c r="D44" s="312"/>
      <c r="E44" s="313" t="s">
        <v>481</v>
      </c>
      <c r="F44" s="301"/>
    </row>
    <row r="45" spans="1:6" ht="15">
      <c r="A45" s="114"/>
      <c r="B45" s="311"/>
      <c r="C45" s="312"/>
      <c r="D45" s="312"/>
      <c r="E45" s="313" t="s">
        <v>482</v>
      </c>
      <c r="F45" s="301"/>
    </row>
    <row r="46" spans="1:6" ht="15">
      <c r="A46" s="114" t="s">
        <v>679</v>
      </c>
      <c r="B46" s="311" t="s">
        <v>711</v>
      </c>
      <c r="C46" s="312">
        <v>0.5</v>
      </c>
      <c r="D46" s="312">
        <v>1.71</v>
      </c>
      <c r="E46" s="313" t="s">
        <v>480</v>
      </c>
      <c r="F46" s="301" t="s">
        <v>711</v>
      </c>
    </row>
    <row r="47" spans="1:6" ht="15">
      <c r="A47" s="114"/>
      <c r="B47" s="311"/>
      <c r="C47" s="312"/>
      <c r="D47" s="312"/>
      <c r="E47" s="313" t="s">
        <v>481</v>
      </c>
      <c r="F47" s="301"/>
    </row>
    <row r="48" spans="1:6" ht="15">
      <c r="A48" s="114"/>
      <c r="B48" s="311"/>
      <c r="C48" s="312"/>
      <c r="D48" s="312"/>
      <c r="E48" s="313" t="s">
        <v>482</v>
      </c>
      <c r="F48" s="301"/>
    </row>
    <row r="49" spans="1:6" ht="14.25">
      <c r="A49" s="495" t="s">
        <v>474</v>
      </c>
      <c r="B49" s="496" t="s">
        <v>711</v>
      </c>
      <c r="C49" s="497">
        <v>0.5</v>
      </c>
      <c r="D49" s="497">
        <v>1.71</v>
      </c>
      <c r="E49" s="497"/>
      <c r="F49" s="496" t="s">
        <v>711</v>
      </c>
    </row>
    <row r="50" spans="1:6" ht="14.25">
      <c r="A50" s="498" t="s">
        <v>475</v>
      </c>
      <c r="B50" s="492"/>
      <c r="C50" s="612">
        <f>+C49+D49</f>
        <v>2.21</v>
      </c>
      <c r="D50" s="613"/>
      <c r="E50" s="492"/>
      <c r="F50" s="492"/>
    </row>
    <row r="51" spans="1:6" ht="14.25">
      <c r="A51" s="303" t="s">
        <v>476</v>
      </c>
      <c r="B51" s="314" t="s">
        <v>711</v>
      </c>
      <c r="C51" s="304">
        <v>0.5</v>
      </c>
      <c r="D51" s="304">
        <v>1.71</v>
      </c>
      <c r="E51" s="315"/>
      <c r="F51" s="314" t="s">
        <v>711</v>
      </c>
    </row>
    <row r="52" spans="1:6" ht="14.25">
      <c r="A52" s="306" t="s">
        <v>477</v>
      </c>
      <c r="B52" s="26"/>
      <c r="C52" s="614">
        <f>+C51+D51</f>
        <v>2.21</v>
      </c>
      <c r="D52" s="616"/>
      <c r="E52" s="26"/>
      <c r="F52" s="26"/>
    </row>
    <row r="53" spans="1:5" ht="10.5" customHeight="1">
      <c r="A53" s="3"/>
      <c r="B53" s="3"/>
      <c r="C53" s="3"/>
      <c r="D53" s="3"/>
      <c r="E53" s="3"/>
    </row>
    <row r="54" spans="1:5" ht="12.75">
      <c r="A54" s="71" t="s">
        <v>486</v>
      </c>
      <c r="B54" s="3"/>
      <c r="C54" s="71"/>
      <c r="D54" s="3"/>
      <c r="E54" s="3"/>
    </row>
    <row r="55" spans="1:6" ht="35.25" customHeight="1">
      <c r="A55" s="519" t="s">
        <v>1</v>
      </c>
      <c r="B55" s="519"/>
      <c r="C55" s="519"/>
      <c r="D55" s="519"/>
      <c r="E55" s="519"/>
      <c r="F55" s="519"/>
    </row>
  </sheetData>
  <mergeCells count="33">
    <mergeCell ref="F41:F42"/>
    <mergeCell ref="C50:D50"/>
    <mergeCell ref="C52:D52"/>
    <mergeCell ref="A55:F55"/>
    <mergeCell ref="A41:A42"/>
    <mergeCell ref="B41:B42"/>
    <mergeCell ref="C41:D41"/>
    <mergeCell ref="E41:E42"/>
    <mergeCell ref="A35:F35"/>
    <mergeCell ref="A36:F36"/>
    <mergeCell ref="A37:F37"/>
    <mergeCell ref="A39:A40"/>
    <mergeCell ref="B39:B40"/>
    <mergeCell ref="C39:D39"/>
    <mergeCell ref="E39:E40"/>
    <mergeCell ref="F39:F40"/>
    <mergeCell ref="A32:F32"/>
    <mergeCell ref="B11:B12"/>
    <mergeCell ref="A11:A12"/>
    <mergeCell ref="E11:E12"/>
    <mergeCell ref="C26:D26"/>
    <mergeCell ref="C28:D28"/>
    <mergeCell ref="A31:F31"/>
    <mergeCell ref="F9:F10"/>
    <mergeCell ref="F11:F12"/>
    <mergeCell ref="A5:F5"/>
    <mergeCell ref="A6:F6"/>
    <mergeCell ref="A7:F7"/>
    <mergeCell ref="B9:B10"/>
    <mergeCell ref="A9:A10"/>
    <mergeCell ref="C9:D9"/>
    <mergeCell ref="E9:E10"/>
    <mergeCell ref="C11:D11"/>
  </mergeCells>
  <printOptions horizontalCentered="1"/>
  <pageMargins left="0.75" right="0.75" top="1" bottom="1" header="0" footer="0"/>
  <pageSetup fitToHeight="0" fitToWidth="1" horizontalDpi="300" verticalDpi="300" orientation="portrait" scale="87" r:id="rId1"/>
  <headerFooter alignWithMargins="0">
    <oddFooter>&amp;C93</oddFooter>
  </headerFooter>
</worksheet>
</file>

<file path=xl/worksheets/sheet73.xml><?xml version="1.0" encoding="utf-8"?>
<worksheet xmlns="http://schemas.openxmlformats.org/spreadsheetml/2006/main" xmlns:r="http://schemas.openxmlformats.org/officeDocument/2006/relationships">
  <dimension ref="A1:F49"/>
  <sheetViews>
    <sheetView workbookViewId="0" topLeftCell="A1">
      <selection activeCell="A5" sqref="A5:F5"/>
    </sheetView>
  </sheetViews>
  <sheetFormatPr defaultColWidth="11.421875" defaultRowHeight="12.75"/>
  <cols>
    <col min="1" max="1" width="26.7109375" style="0" customWidth="1"/>
    <col min="2" max="6" width="15.2812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6" ht="18.75" thickBot="1">
      <c r="A5" s="579" t="s">
        <v>831</v>
      </c>
      <c r="B5" s="580"/>
      <c r="C5" s="580"/>
      <c r="D5" s="580"/>
      <c r="E5" s="580"/>
      <c r="F5" s="581"/>
    </row>
    <row r="6" spans="1:6" ht="15.75">
      <c r="A6" s="510" t="s">
        <v>502</v>
      </c>
      <c r="B6" s="510"/>
      <c r="C6" s="510"/>
      <c r="D6" s="510"/>
      <c r="E6" s="510"/>
      <c r="F6" s="510"/>
    </row>
    <row r="7" spans="1:6" ht="15">
      <c r="A7" s="617" t="s">
        <v>503</v>
      </c>
      <c r="B7" s="617"/>
      <c r="C7" s="617"/>
      <c r="D7" s="617"/>
      <c r="E7" s="617"/>
      <c r="F7" s="617"/>
    </row>
    <row r="8" spans="1:4" ht="15">
      <c r="A8" s="296"/>
      <c r="B8" s="34"/>
      <c r="C8" s="34"/>
      <c r="D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316" t="s">
        <v>487</v>
      </c>
      <c r="B13" s="299" t="s">
        <v>711</v>
      </c>
      <c r="C13" s="111">
        <v>0.1</v>
      </c>
      <c r="D13" s="111" t="s">
        <v>504</v>
      </c>
      <c r="E13" s="42">
        <v>1</v>
      </c>
      <c r="F13" s="299" t="s">
        <v>711</v>
      </c>
    </row>
    <row r="14" spans="1:6" ht="15">
      <c r="A14" s="316" t="s">
        <v>488</v>
      </c>
      <c r="B14" s="311" t="s">
        <v>711</v>
      </c>
      <c r="C14" s="111">
        <v>0.1</v>
      </c>
      <c r="D14" s="111" t="s">
        <v>504</v>
      </c>
      <c r="E14" s="42">
        <v>1</v>
      </c>
      <c r="F14" s="311" t="s">
        <v>711</v>
      </c>
    </row>
    <row r="15" spans="1:6" ht="15">
      <c r="A15" s="316" t="s">
        <v>489</v>
      </c>
      <c r="B15" s="311" t="s">
        <v>711</v>
      </c>
      <c r="C15" s="111">
        <v>0.1</v>
      </c>
      <c r="D15" s="111" t="s">
        <v>504</v>
      </c>
      <c r="E15" s="42">
        <v>1</v>
      </c>
      <c r="F15" s="311" t="s">
        <v>711</v>
      </c>
    </row>
    <row r="16" spans="1:6" ht="25.5">
      <c r="A16" s="316" t="s">
        <v>490</v>
      </c>
      <c r="B16" s="311" t="s">
        <v>711</v>
      </c>
      <c r="C16" s="111">
        <v>0.1</v>
      </c>
      <c r="D16" s="111" t="s">
        <v>504</v>
      </c>
      <c r="E16" s="42">
        <v>1</v>
      </c>
      <c r="F16" s="311" t="s">
        <v>711</v>
      </c>
    </row>
    <row r="17" spans="1:6" ht="25.5">
      <c r="A17" s="316" t="s">
        <v>491</v>
      </c>
      <c r="B17" s="311" t="s">
        <v>711</v>
      </c>
      <c r="C17" s="111">
        <v>0.1</v>
      </c>
      <c r="D17" s="111" t="s">
        <v>504</v>
      </c>
      <c r="E17" s="42">
        <v>1</v>
      </c>
      <c r="F17" s="311" t="s">
        <v>711</v>
      </c>
    </row>
    <row r="18" spans="1:6" ht="15">
      <c r="A18" s="316" t="s">
        <v>492</v>
      </c>
      <c r="B18" s="311" t="s">
        <v>711</v>
      </c>
      <c r="C18" s="111">
        <v>0.1</v>
      </c>
      <c r="D18" s="111" t="s">
        <v>504</v>
      </c>
      <c r="E18" s="42">
        <v>1</v>
      </c>
      <c r="F18" s="311" t="s">
        <v>711</v>
      </c>
    </row>
    <row r="19" spans="1:6" ht="15">
      <c r="A19" s="316" t="s">
        <v>493</v>
      </c>
      <c r="B19" s="311" t="s">
        <v>711</v>
      </c>
      <c r="C19" s="111" t="s">
        <v>505</v>
      </c>
      <c r="D19" s="317" t="s">
        <v>506</v>
      </c>
      <c r="E19" s="42">
        <v>1</v>
      </c>
      <c r="F19" s="311" t="s">
        <v>711</v>
      </c>
    </row>
    <row r="20" spans="1:6" ht="25.5">
      <c r="A20" s="316" t="s">
        <v>494</v>
      </c>
      <c r="B20" s="299" t="s">
        <v>711</v>
      </c>
      <c r="C20" s="111">
        <v>0.1</v>
      </c>
      <c r="D20" s="111" t="s">
        <v>504</v>
      </c>
      <c r="E20" s="42">
        <v>1</v>
      </c>
      <c r="F20" s="299" t="s">
        <v>711</v>
      </c>
    </row>
    <row r="21" spans="1:6" ht="14.25">
      <c r="A21" s="495" t="s">
        <v>495</v>
      </c>
      <c r="B21" s="496" t="s">
        <v>711</v>
      </c>
      <c r="C21" s="497">
        <v>0.1</v>
      </c>
      <c r="D21" s="500" t="s">
        <v>711</v>
      </c>
      <c r="E21" s="480">
        <v>1</v>
      </c>
      <c r="F21" s="500" t="s">
        <v>711</v>
      </c>
    </row>
    <row r="22" spans="1:6" ht="14.25">
      <c r="A22" s="498" t="s">
        <v>496</v>
      </c>
      <c r="B22" s="501"/>
      <c r="C22" s="502"/>
      <c r="D22" s="502"/>
      <c r="E22" s="502"/>
      <c r="F22" s="502"/>
    </row>
    <row r="23" spans="1:6" ht="14.25">
      <c r="A23" s="303" t="s">
        <v>497</v>
      </c>
      <c r="B23" s="305" t="s">
        <v>711</v>
      </c>
      <c r="C23" s="304">
        <v>0.1</v>
      </c>
      <c r="D23" s="318" t="s">
        <v>711</v>
      </c>
      <c r="E23" s="188">
        <v>1</v>
      </c>
      <c r="F23" s="318" t="s">
        <v>711</v>
      </c>
    </row>
    <row r="24" spans="1:6" ht="14.25">
      <c r="A24" s="306" t="s">
        <v>498</v>
      </c>
      <c r="B24" s="319"/>
      <c r="C24" s="319"/>
      <c r="D24" s="319"/>
      <c r="E24" s="319"/>
      <c r="F24" s="319"/>
    </row>
    <row r="25" spans="1:4" ht="15">
      <c r="A25" s="5"/>
      <c r="B25" s="111"/>
      <c r="C25" s="111"/>
      <c r="D25" s="111"/>
    </row>
    <row r="26" spans="1:4" ht="15.75" thickBot="1">
      <c r="A26" s="5"/>
      <c r="B26" s="111"/>
      <c r="C26" s="111"/>
      <c r="D26" s="111"/>
    </row>
    <row r="27" spans="1:6" ht="18.75" thickBot="1">
      <c r="A27" s="579" t="s">
        <v>685</v>
      </c>
      <c r="B27" s="580"/>
      <c r="C27" s="580"/>
      <c r="D27" s="580"/>
      <c r="E27" s="580"/>
      <c r="F27" s="581"/>
    </row>
    <row r="28" spans="1:6" ht="15.75">
      <c r="A28" s="525" t="s">
        <v>459</v>
      </c>
      <c r="B28" s="525"/>
      <c r="C28" s="525"/>
      <c r="D28" s="525"/>
      <c r="E28" s="525"/>
      <c r="F28" s="525"/>
    </row>
    <row r="29" spans="1:6" ht="15">
      <c r="A29" s="604" t="s">
        <v>460</v>
      </c>
      <c r="B29" s="604"/>
      <c r="C29" s="604"/>
      <c r="D29" s="604"/>
      <c r="E29" s="604"/>
      <c r="F29" s="604"/>
    </row>
    <row r="30" spans="1:4" ht="15">
      <c r="A30" s="296"/>
      <c r="B30" s="34"/>
      <c r="C30" s="34"/>
      <c r="D30" s="34"/>
    </row>
    <row r="31" spans="1:6" ht="15" customHeight="1">
      <c r="A31" s="597" t="s">
        <v>461</v>
      </c>
      <c r="B31" s="597" t="s">
        <v>462</v>
      </c>
      <c r="C31" s="605" t="s">
        <v>463</v>
      </c>
      <c r="D31" s="606"/>
      <c r="E31" s="597" t="s">
        <v>464</v>
      </c>
      <c r="F31" s="597" t="s">
        <v>465</v>
      </c>
    </row>
    <row r="32" spans="1:6" ht="25.5">
      <c r="A32" s="598"/>
      <c r="B32" s="598"/>
      <c r="C32" s="297" t="s">
        <v>466</v>
      </c>
      <c r="D32" s="297" t="s">
        <v>467</v>
      </c>
      <c r="E32" s="598"/>
      <c r="F32" s="598"/>
    </row>
    <row r="33" spans="1:6" ht="15" customHeight="1">
      <c r="A33" s="610" t="s">
        <v>714</v>
      </c>
      <c r="B33" s="599" t="s">
        <v>468</v>
      </c>
      <c r="C33" s="607" t="s">
        <v>469</v>
      </c>
      <c r="D33" s="608"/>
      <c r="E33" s="599" t="s">
        <v>470</v>
      </c>
      <c r="F33" s="599" t="s">
        <v>471</v>
      </c>
    </row>
    <row r="34" spans="1:6" ht="25.5" customHeight="1">
      <c r="A34" s="611"/>
      <c r="B34" s="600"/>
      <c r="C34" s="298" t="s">
        <v>472</v>
      </c>
      <c r="D34" s="298" t="s">
        <v>473</v>
      </c>
      <c r="E34" s="600"/>
      <c r="F34" s="600"/>
    </row>
    <row r="35" spans="1:6" ht="15">
      <c r="A35" s="5" t="s">
        <v>687</v>
      </c>
      <c r="B35" s="299" t="s">
        <v>711</v>
      </c>
      <c r="C35" s="320">
        <f>0.015*100</f>
        <v>1.5</v>
      </c>
      <c r="D35" s="320">
        <f>0.02*100</f>
        <v>2</v>
      </c>
      <c r="E35" s="299" t="s">
        <v>711</v>
      </c>
      <c r="F35" s="299" t="s">
        <v>711</v>
      </c>
    </row>
    <row r="36" spans="1:6" ht="15">
      <c r="A36" s="5" t="s">
        <v>688</v>
      </c>
      <c r="B36" s="299" t="s">
        <v>711</v>
      </c>
      <c r="C36" s="320">
        <f>0.0152*100</f>
        <v>1.52</v>
      </c>
      <c r="D36" s="320">
        <f>0.0198*100</f>
        <v>1.9800000000000002</v>
      </c>
      <c r="E36" s="299" t="s">
        <v>711</v>
      </c>
      <c r="F36" s="299" t="s">
        <v>711</v>
      </c>
    </row>
    <row r="37" spans="1:6" ht="15">
      <c r="A37" s="5" t="s">
        <v>689</v>
      </c>
      <c r="B37" s="299" t="s">
        <v>711</v>
      </c>
      <c r="C37" s="320">
        <f>0.0175*100</f>
        <v>1.7500000000000002</v>
      </c>
      <c r="D37" s="320">
        <f>0.0175*100</f>
        <v>1.7500000000000002</v>
      </c>
      <c r="E37" s="299" t="s">
        <v>711</v>
      </c>
      <c r="F37" s="299" t="s">
        <v>711</v>
      </c>
    </row>
    <row r="38" spans="1:6" ht="15">
      <c r="A38" s="5" t="s">
        <v>690</v>
      </c>
      <c r="B38" s="299" t="s">
        <v>711</v>
      </c>
      <c r="C38" s="320">
        <f>0.015*100</f>
        <v>1.5</v>
      </c>
      <c r="D38" s="320">
        <f>0.02*100</f>
        <v>2</v>
      </c>
      <c r="E38" s="299" t="s">
        <v>711</v>
      </c>
      <c r="F38" s="299" t="s">
        <v>711</v>
      </c>
    </row>
    <row r="39" spans="1:6" ht="15">
      <c r="A39" s="5" t="s">
        <v>703</v>
      </c>
      <c r="B39" s="299" t="s">
        <v>711</v>
      </c>
      <c r="C39" s="320">
        <f>0.0156*100</f>
        <v>1.5599999999999998</v>
      </c>
      <c r="D39" s="320">
        <f>0.0156*100</f>
        <v>1.5599999999999998</v>
      </c>
      <c r="E39" s="299" t="s">
        <v>711</v>
      </c>
      <c r="F39" s="299" t="s">
        <v>711</v>
      </c>
    </row>
    <row r="40" spans="1:6" ht="15">
      <c r="A40" s="5" t="s">
        <v>873</v>
      </c>
      <c r="B40" s="299" t="s">
        <v>711</v>
      </c>
      <c r="C40" s="320">
        <f>0.015*100</f>
        <v>1.5</v>
      </c>
      <c r="D40" s="320">
        <f>0.0199*100</f>
        <v>1.9900000000000002</v>
      </c>
      <c r="E40" s="299" t="s">
        <v>711</v>
      </c>
      <c r="F40" s="299" t="s">
        <v>711</v>
      </c>
    </row>
    <row r="41" spans="1:6" ht="14.25">
      <c r="A41" s="495" t="s">
        <v>474</v>
      </c>
      <c r="B41" s="496" t="s">
        <v>711</v>
      </c>
      <c r="C41" s="497">
        <v>1.58</v>
      </c>
      <c r="D41" s="480">
        <v>1.92</v>
      </c>
      <c r="E41" s="500" t="s">
        <v>711</v>
      </c>
      <c r="F41" s="500" t="s">
        <v>711</v>
      </c>
    </row>
    <row r="42" spans="1:6" ht="14.25">
      <c r="A42" s="498" t="s">
        <v>475</v>
      </c>
      <c r="B42" s="492"/>
      <c r="C42" s="612">
        <f>+C41+D41</f>
        <v>3.5</v>
      </c>
      <c r="D42" s="618"/>
      <c r="E42" s="492"/>
      <c r="F42" s="492"/>
    </row>
    <row r="43" spans="1:6" ht="14.25">
      <c r="A43" s="303" t="s">
        <v>476</v>
      </c>
      <c r="B43" s="305" t="s">
        <v>711</v>
      </c>
      <c r="C43" s="304">
        <v>1.57</v>
      </c>
      <c r="D43" s="188">
        <v>1.92</v>
      </c>
      <c r="E43" s="318" t="s">
        <v>711</v>
      </c>
      <c r="F43" s="318" t="s">
        <v>711</v>
      </c>
    </row>
    <row r="44" spans="1:6" ht="14.25">
      <c r="A44" s="306" t="s">
        <v>477</v>
      </c>
      <c r="B44" s="218"/>
      <c r="C44" s="614">
        <f>+C43+D43</f>
        <v>3.49</v>
      </c>
      <c r="D44" s="615"/>
      <c r="E44" s="218"/>
      <c r="F44" s="218"/>
    </row>
    <row r="45" spans="1:4" ht="15">
      <c r="A45" s="321"/>
      <c r="B45" s="117"/>
      <c r="C45" s="111"/>
      <c r="D45" s="117"/>
    </row>
    <row r="46" spans="1:4" ht="12.75">
      <c r="A46" s="71" t="s">
        <v>499</v>
      </c>
      <c r="B46" s="72"/>
      <c r="C46" s="72"/>
      <c r="D46" s="74"/>
    </row>
    <row r="47" spans="1:6" ht="25.5" customHeight="1">
      <c r="A47" s="519" t="s">
        <v>500</v>
      </c>
      <c r="B47" s="519"/>
      <c r="C47" s="519"/>
      <c r="D47" s="519"/>
      <c r="E47" s="519"/>
      <c r="F47" s="519"/>
    </row>
    <row r="48" spans="1:4" ht="12.75">
      <c r="A48" s="72" t="s">
        <v>501</v>
      </c>
      <c r="B48" s="72"/>
      <c r="C48" s="72"/>
      <c r="D48" s="72"/>
    </row>
    <row r="49" spans="1:4" ht="12.75">
      <c r="A49" s="34"/>
      <c r="B49" s="34"/>
      <c r="C49" s="34"/>
      <c r="D49" s="34"/>
    </row>
  </sheetData>
  <mergeCells count="29">
    <mergeCell ref="C42:D42"/>
    <mergeCell ref="C44:D44"/>
    <mergeCell ref="A47:F47"/>
    <mergeCell ref="E31:E32"/>
    <mergeCell ref="F31:F32"/>
    <mergeCell ref="A31:A32"/>
    <mergeCell ref="F33:F34"/>
    <mergeCell ref="A27:F27"/>
    <mergeCell ref="A28:F28"/>
    <mergeCell ref="A29:F29"/>
    <mergeCell ref="A33:A34"/>
    <mergeCell ref="B33:B34"/>
    <mergeCell ref="C33:D33"/>
    <mergeCell ref="E33:E34"/>
    <mergeCell ref="B31:B32"/>
    <mergeCell ref="C31:D31"/>
    <mergeCell ref="A5:F5"/>
    <mergeCell ref="A6:F6"/>
    <mergeCell ref="A7:F7"/>
    <mergeCell ref="A9:A10"/>
    <mergeCell ref="B9:B10"/>
    <mergeCell ref="C9:D9"/>
    <mergeCell ref="E9:E10"/>
    <mergeCell ref="F9:F10"/>
    <mergeCell ref="F11:F12"/>
    <mergeCell ref="A11:A12"/>
    <mergeCell ref="B11:B12"/>
    <mergeCell ref="C11:D11"/>
    <mergeCell ref="E11:E12"/>
  </mergeCells>
  <printOptions horizontalCentered="1"/>
  <pageMargins left="0.75" right="0.75" top="1" bottom="1" header="0" footer="0"/>
  <pageSetup horizontalDpi="300" verticalDpi="300" orientation="portrait" scale="90" r:id="rId1"/>
  <headerFooter alignWithMargins="0">
    <oddFooter>&amp;C94</oddFooter>
  </headerFooter>
</worksheet>
</file>

<file path=xl/worksheets/sheet74.xml><?xml version="1.0" encoding="utf-8"?>
<worksheet xmlns="http://schemas.openxmlformats.org/spreadsheetml/2006/main" xmlns:r="http://schemas.openxmlformats.org/officeDocument/2006/relationships">
  <sheetPr>
    <pageSetUpPr fitToPage="1"/>
  </sheetPr>
  <dimension ref="A1:H54"/>
  <sheetViews>
    <sheetView workbookViewId="0" topLeftCell="A1">
      <selection activeCell="A5" sqref="A5:F5"/>
    </sheetView>
  </sheetViews>
  <sheetFormatPr defaultColWidth="11.421875" defaultRowHeight="12.75"/>
  <cols>
    <col min="1" max="1" width="26.7109375" style="0" customWidth="1"/>
    <col min="2" max="6" width="15.2812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6" ht="18.75" thickBot="1">
      <c r="A5" s="579" t="s">
        <v>691</v>
      </c>
      <c r="B5" s="580"/>
      <c r="C5" s="580"/>
      <c r="D5" s="580"/>
      <c r="E5" s="580"/>
      <c r="F5" s="581"/>
    </row>
    <row r="6" spans="1:6" ht="15.75">
      <c r="A6" s="510" t="s">
        <v>459</v>
      </c>
      <c r="B6" s="510"/>
      <c r="C6" s="510"/>
      <c r="D6" s="510"/>
      <c r="E6" s="510"/>
      <c r="F6" s="510"/>
    </row>
    <row r="7" spans="1:6" ht="15">
      <c r="A7" s="617" t="s">
        <v>460</v>
      </c>
      <c r="B7" s="617"/>
      <c r="C7" s="617"/>
      <c r="D7" s="617"/>
      <c r="E7" s="617"/>
      <c r="F7" s="617"/>
    </row>
    <row r="8" spans="1:4" ht="15">
      <c r="A8" s="296"/>
      <c r="B8" s="34"/>
      <c r="C8" s="34"/>
      <c r="D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5" t="s">
        <v>1001</v>
      </c>
      <c r="B13" s="322" t="s">
        <v>711</v>
      </c>
      <c r="C13" s="322" t="s">
        <v>711</v>
      </c>
      <c r="D13" s="322" t="s">
        <v>711</v>
      </c>
      <c r="E13" s="322" t="s">
        <v>711</v>
      </c>
      <c r="F13" s="322">
        <v>3</v>
      </c>
    </row>
    <row r="14" spans="1:6" ht="15">
      <c r="A14" s="5" t="s">
        <v>926</v>
      </c>
      <c r="B14" s="322" t="s">
        <v>711</v>
      </c>
      <c r="C14" s="322" t="s">
        <v>711</v>
      </c>
      <c r="D14" s="322" t="s">
        <v>711</v>
      </c>
      <c r="E14" s="322" t="s">
        <v>711</v>
      </c>
      <c r="F14" s="322">
        <v>8.5</v>
      </c>
    </row>
    <row r="15" spans="1:6" ht="15">
      <c r="A15" s="5" t="s">
        <v>924</v>
      </c>
      <c r="B15" s="322" t="s">
        <v>711</v>
      </c>
      <c r="C15" s="322" t="s">
        <v>711</v>
      </c>
      <c r="D15" s="322" t="s">
        <v>711</v>
      </c>
      <c r="E15" s="322" t="s">
        <v>711</v>
      </c>
      <c r="F15" s="322">
        <v>8</v>
      </c>
    </row>
    <row r="16" spans="1:6" ht="15">
      <c r="A16" s="5" t="s">
        <v>507</v>
      </c>
      <c r="B16" s="322" t="s">
        <v>711</v>
      </c>
      <c r="C16" s="322" t="s">
        <v>711</v>
      </c>
      <c r="D16" s="322" t="s">
        <v>711</v>
      </c>
      <c r="E16" s="322" t="s">
        <v>711</v>
      </c>
      <c r="F16" s="322">
        <v>8.5</v>
      </c>
    </row>
    <row r="17" spans="1:6" ht="15">
      <c r="A17" s="5" t="s">
        <v>784</v>
      </c>
      <c r="B17" s="322" t="s">
        <v>711</v>
      </c>
      <c r="C17" s="322" t="s">
        <v>711</v>
      </c>
      <c r="D17" s="322" t="s">
        <v>711</v>
      </c>
      <c r="E17" s="322" t="s">
        <v>711</v>
      </c>
      <c r="F17" s="322">
        <v>8</v>
      </c>
    </row>
    <row r="18" spans="1:6" ht="15">
      <c r="A18" s="5" t="s">
        <v>508</v>
      </c>
      <c r="B18" s="322" t="s">
        <v>711</v>
      </c>
      <c r="C18" s="322" t="s">
        <v>711</v>
      </c>
      <c r="D18" s="322" t="s">
        <v>711</v>
      </c>
      <c r="E18" s="322" t="s">
        <v>711</v>
      </c>
      <c r="F18" s="322">
        <v>8</v>
      </c>
    </row>
    <row r="19" spans="1:6" ht="15">
      <c r="A19" s="5" t="s">
        <v>509</v>
      </c>
      <c r="B19" s="322" t="s">
        <v>711</v>
      </c>
      <c r="C19" s="322" t="s">
        <v>711</v>
      </c>
      <c r="D19" s="322" t="s">
        <v>711</v>
      </c>
      <c r="E19" s="322" t="s">
        <v>711</v>
      </c>
      <c r="F19" s="322">
        <v>8</v>
      </c>
    </row>
    <row r="20" spans="1:6" ht="15">
      <c r="A20" s="5" t="s">
        <v>785</v>
      </c>
      <c r="B20" s="322" t="s">
        <v>711</v>
      </c>
      <c r="C20" s="322" t="s">
        <v>711</v>
      </c>
      <c r="D20" s="322" t="s">
        <v>711</v>
      </c>
      <c r="E20" s="322" t="s">
        <v>711</v>
      </c>
      <c r="F20" s="322">
        <v>10</v>
      </c>
    </row>
    <row r="21" spans="1:6" ht="15">
      <c r="A21" s="5" t="s">
        <v>510</v>
      </c>
      <c r="B21" s="322" t="s">
        <v>711</v>
      </c>
      <c r="C21" s="322" t="s">
        <v>711</v>
      </c>
      <c r="D21" s="322" t="s">
        <v>711</v>
      </c>
      <c r="E21" s="322" t="s">
        <v>711</v>
      </c>
      <c r="F21" s="322">
        <v>6</v>
      </c>
    </row>
    <row r="22" spans="1:6" ht="14.25">
      <c r="A22" s="495" t="s">
        <v>474</v>
      </c>
      <c r="B22" s="496" t="s">
        <v>711</v>
      </c>
      <c r="C22" s="496" t="s">
        <v>711</v>
      </c>
      <c r="D22" s="496" t="s">
        <v>711</v>
      </c>
      <c r="E22" s="496" t="s">
        <v>711</v>
      </c>
      <c r="F22" s="497">
        <f>SUM(F13:F21)/9</f>
        <v>7.555555555555555</v>
      </c>
    </row>
    <row r="23" spans="1:6" ht="15">
      <c r="A23" s="498" t="s">
        <v>475</v>
      </c>
      <c r="B23" s="503"/>
      <c r="C23" s="504"/>
      <c r="D23" s="504"/>
      <c r="E23" s="504"/>
      <c r="F23" s="504"/>
    </row>
    <row r="24" spans="1:6" ht="14.25">
      <c r="A24" s="303" t="s">
        <v>511</v>
      </c>
      <c r="B24" s="305" t="s">
        <v>711</v>
      </c>
      <c r="C24" s="305" t="s">
        <v>711</v>
      </c>
      <c r="D24" s="305" t="s">
        <v>711</v>
      </c>
      <c r="E24" s="305" t="s">
        <v>711</v>
      </c>
      <c r="F24" s="304">
        <v>7.5</v>
      </c>
    </row>
    <row r="25" spans="1:6" ht="15">
      <c r="A25" s="306" t="s">
        <v>512</v>
      </c>
      <c r="B25" s="323"/>
      <c r="C25" s="324"/>
      <c r="D25" s="324"/>
      <c r="E25" s="324"/>
      <c r="F25" s="324"/>
    </row>
    <row r="26" spans="1:3" ht="7.5" customHeight="1">
      <c r="A26" s="325"/>
      <c r="B26" s="117"/>
      <c r="C26" s="111"/>
    </row>
    <row r="27" spans="1:5" ht="12.75">
      <c r="A27" s="71" t="s">
        <v>513</v>
      </c>
      <c r="B27" s="72"/>
      <c r="C27" s="72"/>
      <c r="D27" s="72"/>
      <c r="E27" s="72"/>
    </row>
    <row r="28" spans="1:6" ht="12.75">
      <c r="A28" s="520" t="s">
        <v>514</v>
      </c>
      <c r="B28" s="520"/>
      <c r="C28" s="520"/>
      <c r="D28" s="520"/>
      <c r="E28" s="520"/>
      <c r="F28" s="520"/>
    </row>
    <row r="29" spans="1:5" ht="12.75">
      <c r="A29" s="220"/>
      <c r="B29" s="220"/>
      <c r="C29" s="220"/>
      <c r="D29" s="220"/>
      <c r="E29" s="220"/>
    </row>
    <row r="30" spans="1:5" ht="13.5" thickBot="1">
      <c r="A30" s="220"/>
      <c r="B30" s="220"/>
      <c r="C30" s="220"/>
      <c r="D30" s="220"/>
      <c r="E30" s="220"/>
    </row>
    <row r="31" spans="1:6" ht="18.75" thickBot="1">
      <c r="A31" s="579" t="s">
        <v>717</v>
      </c>
      <c r="B31" s="580"/>
      <c r="C31" s="580"/>
      <c r="D31" s="580"/>
      <c r="E31" s="580"/>
      <c r="F31" s="581"/>
    </row>
    <row r="32" spans="1:6" ht="15.75">
      <c r="A32" s="510" t="s">
        <v>459</v>
      </c>
      <c r="B32" s="510"/>
      <c r="C32" s="510"/>
      <c r="D32" s="510"/>
      <c r="E32" s="510"/>
      <c r="F32" s="510"/>
    </row>
    <row r="33" spans="1:6" ht="15">
      <c r="A33" s="617" t="s">
        <v>460</v>
      </c>
      <c r="B33" s="617"/>
      <c r="C33" s="617"/>
      <c r="D33" s="617"/>
      <c r="E33" s="617"/>
      <c r="F33" s="617"/>
    </row>
    <row r="34" spans="1:5" ht="15">
      <c r="A34" s="296"/>
      <c r="B34" s="34"/>
      <c r="C34" s="34"/>
      <c r="D34" s="34"/>
      <c r="E34" s="34"/>
    </row>
    <row r="35" spans="1:6" ht="15" customHeight="1">
      <c r="A35" s="597" t="s">
        <v>461</v>
      </c>
      <c r="B35" s="597" t="s">
        <v>462</v>
      </c>
      <c r="C35" s="605" t="s">
        <v>463</v>
      </c>
      <c r="D35" s="606"/>
      <c r="E35" s="597" t="s">
        <v>464</v>
      </c>
      <c r="F35" s="597" t="s">
        <v>465</v>
      </c>
    </row>
    <row r="36" spans="1:6" ht="25.5">
      <c r="A36" s="598"/>
      <c r="B36" s="598"/>
      <c r="C36" s="297" t="s">
        <v>466</v>
      </c>
      <c r="D36" s="297" t="s">
        <v>467</v>
      </c>
      <c r="E36" s="598"/>
      <c r="F36" s="598"/>
    </row>
    <row r="37" spans="1:6" ht="15" customHeight="1">
      <c r="A37" s="610" t="s">
        <v>714</v>
      </c>
      <c r="B37" s="599" t="s">
        <v>468</v>
      </c>
      <c r="C37" s="607" t="s">
        <v>469</v>
      </c>
      <c r="D37" s="608"/>
      <c r="E37" s="599" t="s">
        <v>470</v>
      </c>
      <c r="F37" s="599" t="s">
        <v>471</v>
      </c>
    </row>
    <row r="38" spans="1:6" ht="25.5" customHeight="1">
      <c r="A38" s="611"/>
      <c r="B38" s="600"/>
      <c r="C38" s="298" t="s">
        <v>472</v>
      </c>
      <c r="D38" s="298" t="s">
        <v>473</v>
      </c>
      <c r="E38" s="600"/>
      <c r="F38" s="600"/>
    </row>
    <row r="39" spans="1:7" ht="15">
      <c r="A39" s="18" t="s">
        <v>680</v>
      </c>
      <c r="B39" s="111">
        <v>0</v>
      </c>
      <c r="C39" s="111">
        <v>1.7</v>
      </c>
      <c r="D39" s="111">
        <v>0.79</v>
      </c>
      <c r="E39" s="299" t="s">
        <v>711</v>
      </c>
      <c r="F39" s="299" t="s">
        <v>711</v>
      </c>
      <c r="G39" s="34"/>
    </row>
    <row r="40" spans="1:7" ht="15">
      <c r="A40" s="18" t="s">
        <v>681</v>
      </c>
      <c r="B40" s="111">
        <v>1.11</v>
      </c>
      <c r="C40" s="111">
        <v>1.33</v>
      </c>
      <c r="D40" s="111">
        <v>0.76</v>
      </c>
      <c r="E40" s="299" t="s">
        <v>711</v>
      </c>
      <c r="F40" s="299" t="s">
        <v>711</v>
      </c>
      <c r="G40" s="34"/>
    </row>
    <row r="41" spans="1:7" ht="15">
      <c r="A41" s="18" t="s">
        <v>887</v>
      </c>
      <c r="B41" s="111">
        <v>0.97</v>
      </c>
      <c r="C41" s="111">
        <v>1.84</v>
      </c>
      <c r="D41" s="111">
        <v>0.71</v>
      </c>
      <c r="E41" s="299" t="s">
        <v>711</v>
      </c>
      <c r="F41" s="299" t="s">
        <v>711</v>
      </c>
      <c r="G41" s="34"/>
    </row>
    <row r="42" spans="1:7" ht="15">
      <c r="A42" s="18" t="s">
        <v>682</v>
      </c>
      <c r="B42" s="111">
        <v>1.4</v>
      </c>
      <c r="C42" s="111">
        <v>1.93</v>
      </c>
      <c r="D42" s="111">
        <v>0.62</v>
      </c>
      <c r="E42" s="299" t="s">
        <v>711</v>
      </c>
      <c r="F42" s="299" t="s">
        <v>711</v>
      </c>
      <c r="G42" s="34"/>
    </row>
    <row r="43" spans="1:7" ht="15">
      <c r="A43" s="18" t="s">
        <v>789</v>
      </c>
      <c r="B43" s="111">
        <v>0.55</v>
      </c>
      <c r="C43" s="111">
        <v>1.41</v>
      </c>
      <c r="D43" s="111">
        <v>0.84</v>
      </c>
      <c r="E43" s="299" t="s">
        <v>711</v>
      </c>
      <c r="F43" s="299" t="s">
        <v>711</v>
      </c>
      <c r="G43" s="34"/>
    </row>
    <row r="44" spans="1:7" ht="15">
      <c r="A44" s="18" t="s">
        <v>683</v>
      </c>
      <c r="B44" s="111">
        <v>0.98</v>
      </c>
      <c r="C44" s="111">
        <v>1.36</v>
      </c>
      <c r="D44" s="111">
        <v>0.93</v>
      </c>
      <c r="E44" s="299" t="s">
        <v>711</v>
      </c>
      <c r="F44" s="299" t="s">
        <v>711</v>
      </c>
      <c r="G44" s="34"/>
    </row>
    <row r="45" spans="1:7" ht="15">
      <c r="A45" s="18" t="s">
        <v>684</v>
      </c>
      <c r="B45" s="111">
        <v>0.97</v>
      </c>
      <c r="C45" s="111">
        <v>1.61</v>
      </c>
      <c r="D45" s="111">
        <v>0.72</v>
      </c>
      <c r="E45" s="299" t="s">
        <v>711</v>
      </c>
      <c r="F45" s="299" t="s">
        <v>711</v>
      </c>
      <c r="G45" s="34"/>
    </row>
    <row r="46" spans="1:7" ht="14.25">
      <c r="A46" s="495" t="s">
        <v>474</v>
      </c>
      <c r="B46" s="497">
        <v>0.76</v>
      </c>
      <c r="C46" s="497">
        <v>1.46</v>
      </c>
      <c r="D46" s="497">
        <v>0.8</v>
      </c>
      <c r="E46" s="505" t="s">
        <v>711</v>
      </c>
      <c r="F46" s="505" t="s">
        <v>711</v>
      </c>
      <c r="G46" s="34"/>
    </row>
    <row r="47" spans="1:8" ht="15">
      <c r="A47" s="498" t="s">
        <v>475</v>
      </c>
      <c r="B47" s="503"/>
      <c r="C47" s="612">
        <f>+C46+D46</f>
        <v>2.26</v>
      </c>
      <c r="D47" s="613"/>
      <c r="E47" s="506"/>
      <c r="F47" s="506"/>
      <c r="G47" s="34"/>
      <c r="H47" s="326"/>
    </row>
    <row r="48" spans="1:7" ht="14.25">
      <c r="A48" s="303" t="s">
        <v>476</v>
      </c>
      <c r="B48" s="305">
        <v>0.82</v>
      </c>
      <c r="C48" s="304">
        <v>1.48</v>
      </c>
      <c r="D48" s="188">
        <v>0.78</v>
      </c>
      <c r="E48" s="327" t="s">
        <v>711</v>
      </c>
      <c r="F48" s="327" t="s">
        <v>711</v>
      </c>
      <c r="G48" s="34"/>
    </row>
    <row r="49" spans="1:8" ht="15">
      <c r="A49" s="306" t="s">
        <v>477</v>
      </c>
      <c r="B49" s="323"/>
      <c r="C49" s="614">
        <f>+C48+D48</f>
        <v>2.26</v>
      </c>
      <c r="D49" s="616"/>
      <c r="E49" s="328"/>
      <c r="F49" s="328"/>
      <c r="G49" s="34"/>
      <c r="H49" s="326"/>
    </row>
    <row r="50" spans="1:5" ht="5.25" customHeight="1">
      <c r="A50" s="3"/>
      <c r="B50" s="3"/>
      <c r="C50" s="3"/>
      <c r="D50" s="3"/>
      <c r="E50" s="125"/>
    </row>
    <row r="51" spans="1:5" ht="12.75">
      <c r="A51" s="71" t="s">
        <v>515</v>
      </c>
      <c r="B51" s="72"/>
      <c r="C51" s="72"/>
      <c r="D51" s="72"/>
      <c r="E51" s="72"/>
    </row>
    <row r="52" spans="1:6" ht="26.25" customHeight="1">
      <c r="A52" s="519" t="s">
        <v>516</v>
      </c>
      <c r="B52" s="559"/>
      <c r="C52" s="559"/>
      <c r="D52" s="559"/>
      <c r="E52" s="559"/>
      <c r="F52" s="619"/>
    </row>
    <row r="53" spans="1:6" ht="27" customHeight="1">
      <c r="A53" s="519" t="s">
        <v>517</v>
      </c>
      <c r="B53" s="559"/>
      <c r="C53" s="559"/>
      <c r="D53" s="559"/>
      <c r="E53" s="559"/>
      <c r="F53" s="619"/>
    </row>
    <row r="54" spans="1:4" ht="12.75">
      <c r="A54" s="34"/>
      <c r="B54" s="34"/>
      <c r="C54" s="34"/>
      <c r="D54" s="34"/>
    </row>
  </sheetData>
  <mergeCells count="31">
    <mergeCell ref="F37:F38"/>
    <mergeCell ref="B35:B36"/>
    <mergeCell ref="A37:A38"/>
    <mergeCell ref="B37:B38"/>
    <mergeCell ref="C37:D37"/>
    <mergeCell ref="E37:E38"/>
    <mergeCell ref="E35:E36"/>
    <mergeCell ref="C47:D47"/>
    <mergeCell ref="C49:D49"/>
    <mergeCell ref="A52:F52"/>
    <mergeCell ref="A53:F53"/>
    <mergeCell ref="A5:F5"/>
    <mergeCell ref="A6:F6"/>
    <mergeCell ref="A7:F7"/>
    <mergeCell ref="A9:A10"/>
    <mergeCell ref="B9:B10"/>
    <mergeCell ref="C9:D9"/>
    <mergeCell ref="E9:E10"/>
    <mergeCell ref="F9:F10"/>
    <mergeCell ref="A31:F31"/>
    <mergeCell ref="F35:F36"/>
    <mergeCell ref="C35:D35"/>
    <mergeCell ref="A35:A36"/>
    <mergeCell ref="A32:F32"/>
    <mergeCell ref="A33:F33"/>
    <mergeCell ref="A28:F28"/>
    <mergeCell ref="A11:A12"/>
    <mergeCell ref="B11:B12"/>
    <mergeCell ref="C11:D11"/>
    <mergeCell ref="F11:F12"/>
    <mergeCell ref="E11:E12"/>
  </mergeCells>
  <printOptions horizontalCentered="1"/>
  <pageMargins left="0.75" right="0.75" top="1" bottom="1" header="0" footer="0"/>
  <pageSetup fitToHeight="1" fitToWidth="1" horizontalDpi="300" verticalDpi="300" orientation="portrait" scale="96" r:id="rId1"/>
  <headerFooter alignWithMargins="0">
    <oddFooter>&amp;C95</oddFooter>
  </headerFooter>
</worksheet>
</file>

<file path=xl/worksheets/sheet75.xml><?xml version="1.0" encoding="utf-8"?>
<worksheet xmlns="http://schemas.openxmlformats.org/spreadsheetml/2006/main" xmlns:r="http://schemas.openxmlformats.org/officeDocument/2006/relationships">
  <sheetPr>
    <pageSetUpPr fitToPage="1"/>
  </sheetPr>
  <dimension ref="A1:G52"/>
  <sheetViews>
    <sheetView workbookViewId="0" topLeftCell="A1">
      <selection activeCell="A5" sqref="A5:F5"/>
    </sheetView>
  </sheetViews>
  <sheetFormatPr defaultColWidth="11.421875" defaultRowHeight="12.75"/>
  <cols>
    <col min="1" max="1" width="26.7109375" style="0" customWidth="1"/>
    <col min="2" max="6" width="15.2812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6" ht="18.75" thickBot="1">
      <c r="A5" s="579" t="s">
        <v>695</v>
      </c>
      <c r="B5" s="580"/>
      <c r="C5" s="580"/>
      <c r="D5" s="580"/>
      <c r="E5" s="580"/>
      <c r="F5" s="581"/>
    </row>
    <row r="6" spans="1:6" ht="15.75">
      <c r="A6" s="510" t="s">
        <v>459</v>
      </c>
      <c r="B6" s="510"/>
      <c r="C6" s="510"/>
      <c r="D6" s="510"/>
      <c r="E6" s="510"/>
      <c r="F6" s="510"/>
    </row>
    <row r="7" spans="1:6" ht="15">
      <c r="A7" s="617" t="s">
        <v>460</v>
      </c>
      <c r="B7" s="617"/>
      <c r="C7" s="617"/>
      <c r="D7" s="617"/>
      <c r="E7" s="617"/>
      <c r="F7" s="617"/>
    </row>
    <row r="8" spans="1:4" ht="15">
      <c r="A8" s="296"/>
      <c r="B8" s="34"/>
      <c r="C8" s="34"/>
      <c r="D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5" t="s">
        <v>696</v>
      </c>
      <c r="B13" s="299" t="s">
        <v>711</v>
      </c>
      <c r="C13" s="320">
        <v>1.6226</v>
      </c>
      <c r="D13" s="320">
        <v>1.3774</v>
      </c>
      <c r="E13" s="299" t="s">
        <v>711</v>
      </c>
      <c r="F13" s="299" t="s">
        <v>711</v>
      </c>
    </row>
    <row r="14" spans="1:6" ht="15">
      <c r="A14" s="5" t="s">
        <v>852</v>
      </c>
      <c r="B14" s="299" t="s">
        <v>711</v>
      </c>
      <c r="C14" s="320">
        <v>1.6685</v>
      </c>
      <c r="D14" s="320">
        <v>1.2815</v>
      </c>
      <c r="E14" s="299" t="s">
        <v>711</v>
      </c>
      <c r="F14" s="299" t="s">
        <v>711</v>
      </c>
    </row>
    <row r="15" spans="1:6" ht="15">
      <c r="A15" s="5" t="s">
        <v>518</v>
      </c>
      <c r="B15" s="299" t="s">
        <v>711</v>
      </c>
      <c r="C15" s="320">
        <v>1.25</v>
      </c>
      <c r="D15" s="334">
        <v>1.75</v>
      </c>
      <c r="E15" s="299" t="s">
        <v>711</v>
      </c>
      <c r="F15" s="299" t="s">
        <v>711</v>
      </c>
    </row>
    <row r="16" spans="1:6" ht="14.25">
      <c r="A16" s="495" t="s">
        <v>474</v>
      </c>
      <c r="B16" s="496" t="s">
        <v>711</v>
      </c>
      <c r="C16" s="497">
        <v>1.51</v>
      </c>
      <c r="D16" s="497">
        <v>1.47</v>
      </c>
      <c r="E16" s="496" t="s">
        <v>711</v>
      </c>
      <c r="F16" s="496" t="s">
        <v>711</v>
      </c>
    </row>
    <row r="17" spans="1:6" ht="14.25">
      <c r="A17" s="498" t="s">
        <v>475</v>
      </c>
      <c r="B17" s="492"/>
      <c r="C17" s="612">
        <f>+C16+D16</f>
        <v>2.98</v>
      </c>
      <c r="D17" s="618"/>
      <c r="E17" s="499"/>
      <c r="F17" s="499"/>
    </row>
    <row r="18" spans="1:6" ht="14.25">
      <c r="A18" s="303" t="s">
        <v>476</v>
      </c>
      <c r="B18" s="305" t="s">
        <v>711</v>
      </c>
      <c r="C18" s="329">
        <v>0.0169</v>
      </c>
      <c r="D18" s="329">
        <v>0.0128</v>
      </c>
      <c r="E18" s="330" t="s">
        <v>711</v>
      </c>
      <c r="F18" s="330" t="s">
        <v>711</v>
      </c>
    </row>
    <row r="19" spans="1:7" ht="15">
      <c r="A19" s="306" t="s">
        <v>477</v>
      </c>
      <c r="B19" s="324"/>
      <c r="C19" s="621">
        <f>+C18+D18</f>
        <v>0.029699999999999997</v>
      </c>
      <c r="D19" s="622"/>
      <c r="E19" s="323"/>
      <c r="F19" s="323"/>
      <c r="G19" s="326"/>
    </row>
    <row r="20" spans="1:4" ht="12.75">
      <c r="A20" s="3"/>
      <c r="B20" s="3"/>
      <c r="C20" s="3"/>
      <c r="D20" s="3"/>
    </row>
    <row r="21" spans="1:4" ht="12.75">
      <c r="A21" s="71" t="s">
        <v>574</v>
      </c>
      <c r="B21" s="72"/>
      <c r="C21" s="72"/>
      <c r="D21" s="72"/>
    </row>
    <row r="22" spans="1:6" ht="39" customHeight="1">
      <c r="A22" s="519" t="s">
        <v>2</v>
      </c>
      <c r="B22" s="519"/>
      <c r="C22" s="519"/>
      <c r="D22" s="519"/>
      <c r="E22" s="619"/>
      <c r="F22" s="619"/>
    </row>
    <row r="23" spans="1:6" ht="12.75">
      <c r="A23" s="623" t="s">
        <v>10</v>
      </c>
      <c r="B23" s="623"/>
      <c r="C23" s="623"/>
      <c r="D23" s="623"/>
      <c r="E23" s="624"/>
      <c r="F23" s="624"/>
    </row>
    <row r="24" spans="1:4" ht="13.5" thickBot="1">
      <c r="A24" s="331"/>
      <c r="B24" s="331"/>
      <c r="C24" s="331"/>
      <c r="D24" s="331"/>
    </row>
    <row r="25" spans="1:6" ht="18.75" thickBot="1">
      <c r="A25" s="579" t="s">
        <v>699</v>
      </c>
      <c r="B25" s="580"/>
      <c r="C25" s="580"/>
      <c r="D25" s="580"/>
      <c r="E25" s="580"/>
      <c r="F25" s="581"/>
    </row>
    <row r="26" spans="1:6" ht="15.75">
      <c r="A26" s="510" t="s">
        <v>459</v>
      </c>
      <c r="B26" s="510"/>
      <c r="C26" s="510"/>
      <c r="D26" s="510"/>
      <c r="E26" s="510"/>
      <c r="F26" s="510"/>
    </row>
    <row r="27" spans="1:6" ht="15">
      <c r="A27" s="617" t="s">
        <v>460</v>
      </c>
      <c r="B27" s="617"/>
      <c r="C27" s="617"/>
      <c r="D27" s="617"/>
      <c r="E27" s="617"/>
      <c r="F27" s="617"/>
    </row>
    <row r="28" spans="1:4" ht="15">
      <c r="A28" s="296"/>
      <c r="B28" s="34"/>
      <c r="C28" s="34"/>
      <c r="D28" s="34"/>
    </row>
    <row r="29" spans="1:6" ht="15" customHeight="1">
      <c r="A29" s="597" t="s">
        <v>461</v>
      </c>
      <c r="B29" s="597" t="s">
        <v>462</v>
      </c>
      <c r="C29" s="605" t="s">
        <v>463</v>
      </c>
      <c r="D29" s="606"/>
      <c r="E29" s="597" t="s">
        <v>464</v>
      </c>
      <c r="F29" s="597" t="s">
        <v>465</v>
      </c>
    </row>
    <row r="30" spans="1:6" ht="25.5">
      <c r="A30" s="598"/>
      <c r="B30" s="598"/>
      <c r="C30" s="297" t="s">
        <v>466</v>
      </c>
      <c r="D30" s="297" t="s">
        <v>519</v>
      </c>
      <c r="E30" s="598"/>
      <c r="F30" s="598"/>
    </row>
    <row r="31" spans="1:6" ht="15" customHeight="1">
      <c r="A31" s="610" t="s">
        <v>714</v>
      </c>
      <c r="B31" s="599" t="s">
        <v>468</v>
      </c>
      <c r="C31" s="607" t="s">
        <v>469</v>
      </c>
      <c r="D31" s="608"/>
      <c r="E31" s="599" t="s">
        <v>470</v>
      </c>
      <c r="F31" s="599" t="s">
        <v>471</v>
      </c>
    </row>
    <row r="32" spans="1:6" ht="25.5" customHeight="1">
      <c r="A32" s="611"/>
      <c r="B32" s="600"/>
      <c r="C32" s="298" t="s">
        <v>472</v>
      </c>
      <c r="D32" s="298" t="s">
        <v>520</v>
      </c>
      <c r="E32" s="600"/>
      <c r="F32" s="600"/>
    </row>
    <row r="33" spans="1:6" ht="15">
      <c r="A33" s="5" t="s">
        <v>1018</v>
      </c>
      <c r="B33" s="299" t="s">
        <v>711</v>
      </c>
      <c r="C33" s="111">
        <v>1.6</v>
      </c>
      <c r="D33" s="299" t="s">
        <v>711</v>
      </c>
      <c r="E33" s="111">
        <v>0.5</v>
      </c>
      <c r="F33" s="332" t="s">
        <v>711</v>
      </c>
    </row>
    <row r="34" spans="1:6" ht="15">
      <c r="A34" s="5" t="s">
        <v>521</v>
      </c>
      <c r="B34" s="299" t="s">
        <v>711</v>
      </c>
      <c r="C34" s="111">
        <v>1.7</v>
      </c>
      <c r="D34" s="299" t="s">
        <v>711</v>
      </c>
      <c r="E34" s="111">
        <v>0</v>
      </c>
      <c r="F34" s="332" t="s">
        <v>711</v>
      </c>
    </row>
    <row r="35" spans="1:6" ht="15">
      <c r="A35" s="5" t="s">
        <v>800</v>
      </c>
      <c r="B35" s="299" t="s">
        <v>711</v>
      </c>
      <c r="C35" s="111">
        <v>1.68</v>
      </c>
      <c r="D35" s="299" t="s">
        <v>711</v>
      </c>
      <c r="E35" s="111">
        <v>0</v>
      </c>
      <c r="F35" s="332" t="s">
        <v>711</v>
      </c>
    </row>
    <row r="36" spans="1:6" ht="15">
      <c r="A36" s="5" t="s">
        <v>700</v>
      </c>
      <c r="B36" s="299" t="s">
        <v>711</v>
      </c>
      <c r="C36" s="111">
        <v>1.4</v>
      </c>
      <c r="D36" s="299" t="s">
        <v>711</v>
      </c>
      <c r="E36" s="111">
        <v>0.7</v>
      </c>
      <c r="F36" s="332" t="s">
        <v>711</v>
      </c>
    </row>
    <row r="37" spans="1:6" ht="15">
      <c r="A37" s="5" t="s">
        <v>701</v>
      </c>
      <c r="B37" s="299" t="s">
        <v>711</v>
      </c>
      <c r="C37" s="111">
        <v>0</v>
      </c>
      <c r="D37" s="299" t="s">
        <v>711</v>
      </c>
      <c r="E37" s="111">
        <v>0</v>
      </c>
      <c r="F37" s="111">
        <v>33</v>
      </c>
    </row>
    <row r="38" spans="1:6" ht="15">
      <c r="A38" s="5" t="s">
        <v>1021</v>
      </c>
      <c r="B38" s="299" t="s">
        <v>711</v>
      </c>
      <c r="C38" s="111">
        <v>1.68</v>
      </c>
      <c r="D38" s="299" t="s">
        <v>711</v>
      </c>
      <c r="E38" s="111">
        <v>0</v>
      </c>
      <c r="F38" s="332" t="s">
        <v>711</v>
      </c>
    </row>
    <row r="39" spans="1:6" ht="15">
      <c r="A39" s="5" t="s">
        <v>522</v>
      </c>
      <c r="B39" s="299" t="s">
        <v>711</v>
      </c>
      <c r="C39" s="111">
        <v>1.6</v>
      </c>
      <c r="D39" s="299" t="s">
        <v>711</v>
      </c>
      <c r="E39" s="111">
        <v>0.45</v>
      </c>
      <c r="F39" s="332" t="s">
        <v>711</v>
      </c>
    </row>
    <row r="40" spans="1:6" ht="15">
      <c r="A40" s="5" t="s">
        <v>702</v>
      </c>
      <c r="B40" s="299" t="s">
        <v>711</v>
      </c>
      <c r="C40" s="111">
        <v>1.67</v>
      </c>
      <c r="D40" s="299" t="s">
        <v>711</v>
      </c>
      <c r="E40" s="111">
        <v>0.7</v>
      </c>
      <c r="F40" s="332" t="s">
        <v>711</v>
      </c>
    </row>
    <row r="41" spans="1:6" ht="15">
      <c r="A41" s="5" t="s">
        <v>703</v>
      </c>
      <c r="B41" s="299" t="s">
        <v>711</v>
      </c>
      <c r="C41" s="111">
        <v>1.6</v>
      </c>
      <c r="D41" s="299" t="s">
        <v>711</v>
      </c>
      <c r="E41" s="111">
        <v>1</v>
      </c>
      <c r="F41" s="332" t="s">
        <v>711</v>
      </c>
    </row>
    <row r="42" spans="1:6" ht="15">
      <c r="A42" s="5" t="s">
        <v>704</v>
      </c>
      <c r="B42" s="299" t="s">
        <v>711</v>
      </c>
      <c r="C42" s="111">
        <v>1.6</v>
      </c>
      <c r="D42" s="299" t="s">
        <v>711</v>
      </c>
      <c r="E42" s="111">
        <v>0.15</v>
      </c>
      <c r="F42" s="332" t="s">
        <v>711</v>
      </c>
    </row>
    <row r="43" spans="1:6" ht="15">
      <c r="A43" s="5" t="s">
        <v>705</v>
      </c>
      <c r="B43" s="299" t="s">
        <v>711</v>
      </c>
      <c r="C43" s="111">
        <v>1.4</v>
      </c>
      <c r="D43" s="299" t="s">
        <v>711</v>
      </c>
      <c r="E43" s="111">
        <v>0.2</v>
      </c>
      <c r="F43" s="332" t="s">
        <v>711</v>
      </c>
    </row>
    <row r="44" spans="1:6" ht="14.25">
      <c r="A44" s="495" t="s">
        <v>474</v>
      </c>
      <c r="B44" s="496" t="s">
        <v>711</v>
      </c>
      <c r="C44" s="497">
        <f>AVERAGE(C33:C43)</f>
        <v>1.448181818181818</v>
      </c>
      <c r="D44" s="500" t="s">
        <v>711</v>
      </c>
      <c r="E44" s="497">
        <f>AVERAGE(E33:E43)</f>
        <v>0.33636363636363636</v>
      </c>
      <c r="F44" s="497">
        <f>SUM(F33:F43)/11</f>
        <v>3</v>
      </c>
    </row>
    <row r="45" spans="1:7" ht="15">
      <c r="A45" s="498" t="s">
        <v>475</v>
      </c>
      <c r="B45" s="504"/>
      <c r="C45" s="612">
        <f>+C44</f>
        <v>1.448181818181818</v>
      </c>
      <c r="D45" s="613"/>
      <c r="E45" s="503"/>
      <c r="F45" s="503"/>
      <c r="G45" s="326"/>
    </row>
    <row r="46" spans="1:6" ht="14.25">
      <c r="A46" s="303" t="s">
        <v>476</v>
      </c>
      <c r="B46" s="305" t="s">
        <v>711</v>
      </c>
      <c r="C46" s="304">
        <v>1.46</v>
      </c>
      <c r="D46" s="318" t="s">
        <v>711</v>
      </c>
      <c r="E46" s="304">
        <v>0.36</v>
      </c>
      <c r="F46" s="304">
        <v>3</v>
      </c>
    </row>
    <row r="47" spans="1:7" ht="15">
      <c r="A47" s="306" t="s">
        <v>477</v>
      </c>
      <c r="B47" s="324"/>
      <c r="C47" s="614">
        <v>1.46</v>
      </c>
      <c r="D47" s="616"/>
      <c r="E47" s="323"/>
      <c r="F47" s="323"/>
      <c r="G47" s="326"/>
    </row>
    <row r="48" spans="1:4" ht="12.75">
      <c r="A48" s="3"/>
      <c r="B48" s="3"/>
      <c r="C48" s="3"/>
      <c r="D48" s="3"/>
    </row>
    <row r="49" spans="1:4" ht="12.75">
      <c r="A49" s="69" t="s">
        <v>11</v>
      </c>
      <c r="B49" s="3"/>
      <c r="C49" s="3"/>
      <c r="D49" s="3"/>
    </row>
    <row r="50" spans="1:6" ht="39" customHeight="1">
      <c r="A50" s="620" t="s">
        <v>3</v>
      </c>
      <c r="B50" s="620"/>
      <c r="C50" s="620"/>
      <c r="D50" s="620"/>
      <c r="E50" s="620"/>
      <c r="F50" s="620"/>
    </row>
    <row r="51" spans="1:4" ht="12.75">
      <c r="A51" s="331"/>
      <c r="B51" s="35"/>
      <c r="C51" s="35"/>
      <c r="D51" s="35"/>
    </row>
    <row r="52" spans="1:4" ht="12.75">
      <c r="A52" s="333"/>
      <c r="B52" s="18"/>
      <c r="C52" s="309"/>
      <c r="D52" s="18"/>
    </row>
  </sheetData>
  <mergeCells count="33">
    <mergeCell ref="C19:D19"/>
    <mergeCell ref="A22:F22"/>
    <mergeCell ref="A23:F23"/>
    <mergeCell ref="A26:F26"/>
    <mergeCell ref="A25:F25"/>
    <mergeCell ref="C47:D47"/>
    <mergeCell ref="C45:D45"/>
    <mergeCell ref="A50:F50"/>
    <mergeCell ref="A29:A30"/>
    <mergeCell ref="B29:B30"/>
    <mergeCell ref="C29:D29"/>
    <mergeCell ref="E29:E30"/>
    <mergeCell ref="A27:F27"/>
    <mergeCell ref="A31:A32"/>
    <mergeCell ref="B31:B32"/>
    <mergeCell ref="C31:D31"/>
    <mergeCell ref="E31:E32"/>
    <mergeCell ref="F31:F32"/>
    <mergeCell ref="F29:F30"/>
    <mergeCell ref="A9:A10"/>
    <mergeCell ref="B9:B10"/>
    <mergeCell ref="C9:D9"/>
    <mergeCell ref="E9:E10"/>
    <mergeCell ref="C17:D17"/>
    <mergeCell ref="A5:F5"/>
    <mergeCell ref="A6:F6"/>
    <mergeCell ref="A7:F7"/>
    <mergeCell ref="A11:A12"/>
    <mergeCell ref="B11:B12"/>
    <mergeCell ref="C11:D11"/>
    <mergeCell ref="E11:E12"/>
    <mergeCell ref="F9:F10"/>
    <mergeCell ref="F11:F12"/>
  </mergeCells>
  <printOptions horizontalCentered="1"/>
  <pageMargins left="0.75" right="0.75" top="1" bottom="1" header="0" footer="0"/>
  <pageSetup fitToHeight="1" fitToWidth="1" horizontalDpi="300" verticalDpi="300" orientation="portrait" scale="96" r:id="rId1"/>
  <headerFooter alignWithMargins="0">
    <oddFooter>&amp;C96</oddFooter>
  </headerFooter>
</worksheet>
</file>

<file path=xl/worksheets/sheet76.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A5" sqref="A5:F5"/>
    </sheetView>
  </sheetViews>
  <sheetFormatPr defaultColWidth="11.421875" defaultRowHeight="12.75"/>
  <cols>
    <col min="1" max="1" width="26.7109375" style="0" customWidth="1"/>
    <col min="2" max="6" width="15.28125" style="0" customWidth="1"/>
  </cols>
  <sheetData>
    <row r="1" ht="12.75">
      <c r="A1" s="1" t="s">
        <v>658</v>
      </c>
    </row>
    <row r="2" spans="1:4" ht="12.75">
      <c r="A2" s="1" t="s">
        <v>659</v>
      </c>
      <c r="B2" s="34"/>
      <c r="C2" s="34"/>
      <c r="D2" s="34"/>
    </row>
    <row r="3" spans="1:4" ht="12.75">
      <c r="A3" s="1"/>
      <c r="B3" s="34"/>
      <c r="C3" s="34"/>
      <c r="D3" s="34"/>
    </row>
    <row r="4" spans="1:4" ht="13.5" thickBot="1">
      <c r="A4" s="1"/>
      <c r="B4" s="34"/>
      <c r="C4" s="34"/>
      <c r="D4" s="34"/>
    </row>
    <row r="5" spans="1:6" ht="18.75" thickBot="1">
      <c r="A5" s="579" t="s">
        <v>801</v>
      </c>
      <c r="B5" s="580"/>
      <c r="C5" s="580"/>
      <c r="D5" s="580"/>
      <c r="E5" s="580"/>
      <c r="F5" s="581"/>
    </row>
    <row r="6" spans="1:6" ht="15.75">
      <c r="A6" s="510" t="s">
        <v>12</v>
      </c>
      <c r="B6" s="510"/>
      <c r="C6" s="510"/>
      <c r="D6" s="510"/>
      <c r="E6" s="510"/>
      <c r="F6" s="510"/>
    </row>
    <row r="7" spans="1:6" ht="15">
      <c r="A7" s="617" t="s">
        <v>13</v>
      </c>
      <c r="B7" s="617"/>
      <c r="C7" s="617"/>
      <c r="D7" s="617"/>
      <c r="E7" s="617"/>
      <c r="F7" s="617"/>
    </row>
    <row r="8" spans="1:4" ht="15">
      <c r="A8" s="296"/>
      <c r="B8" s="34"/>
      <c r="C8" s="34"/>
      <c r="D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5" t="s">
        <v>17</v>
      </c>
      <c r="B13" s="335" t="s">
        <v>711</v>
      </c>
      <c r="C13" s="320">
        <v>0.65</v>
      </c>
      <c r="D13" s="336" t="s">
        <v>711</v>
      </c>
      <c r="E13" s="336" t="s">
        <v>711</v>
      </c>
      <c r="F13" s="336" t="s">
        <v>711</v>
      </c>
    </row>
    <row r="14" spans="1:6" ht="15">
      <c r="A14" s="5" t="s">
        <v>18</v>
      </c>
      <c r="B14" s="335" t="s">
        <v>711</v>
      </c>
      <c r="C14" s="111" t="s">
        <v>14</v>
      </c>
      <c r="D14" s="336" t="s">
        <v>711</v>
      </c>
      <c r="E14" s="336" t="s">
        <v>711</v>
      </c>
      <c r="F14" s="336" t="s">
        <v>711</v>
      </c>
    </row>
    <row r="15" spans="1:6" ht="15">
      <c r="A15" s="5" t="s">
        <v>19</v>
      </c>
      <c r="B15" s="335" t="s">
        <v>711</v>
      </c>
      <c r="C15" s="320">
        <v>0.65</v>
      </c>
      <c r="D15" s="336" t="s">
        <v>711</v>
      </c>
      <c r="E15" s="336" t="s">
        <v>711</v>
      </c>
      <c r="F15" s="336" t="s">
        <v>711</v>
      </c>
    </row>
    <row r="16" spans="1:6" ht="15">
      <c r="A16" s="5" t="s">
        <v>20</v>
      </c>
      <c r="B16" s="335" t="s">
        <v>711</v>
      </c>
      <c r="C16" s="111" t="s">
        <v>15</v>
      </c>
      <c r="D16" s="336" t="s">
        <v>711</v>
      </c>
      <c r="E16" s="336" t="s">
        <v>711</v>
      </c>
      <c r="F16" s="336" t="s">
        <v>711</v>
      </c>
    </row>
    <row r="17" spans="1:6" ht="15">
      <c r="A17" s="5" t="s">
        <v>21</v>
      </c>
      <c r="B17" s="335" t="s">
        <v>711</v>
      </c>
      <c r="C17" s="320">
        <v>0.65</v>
      </c>
      <c r="D17" s="336" t="s">
        <v>711</v>
      </c>
      <c r="E17" s="336" t="s">
        <v>711</v>
      </c>
      <c r="F17" s="336" t="s">
        <v>711</v>
      </c>
    </row>
    <row r="18" spans="1:6" ht="15">
      <c r="A18" s="5" t="s">
        <v>22</v>
      </c>
      <c r="B18" s="335" t="s">
        <v>711</v>
      </c>
      <c r="C18" s="320">
        <v>0.65</v>
      </c>
      <c r="D18" s="336" t="s">
        <v>711</v>
      </c>
      <c r="E18" s="336" t="s">
        <v>711</v>
      </c>
      <c r="F18" s="336" t="s">
        <v>711</v>
      </c>
    </row>
    <row r="19" spans="1:6" ht="15">
      <c r="A19" s="5" t="s">
        <v>16</v>
      </c>
      <c r="B19" s="123">
        <v>30.685</v>
      </c>
      <c r="C19" s="336" t="s">
        <v>711</v>
      </c>
      <c r="D19" s="336" t="s">
        <v>711</v>
      </c>
      <c r="E19" s="336" t="s">
        <v>711</v>
      </c>
      <c r="F19" s="336" t="s">
        <v>711</v>
      </c>
    </row>
    <row r="20" spans="1:6" ht="14.25">
      <c r="A20" s="495" t="s">
        <v>474</v>
      </c>
      <c r="B20" s="496">
        <f>SUM(B13:B19)/7</f>
        <v>4.383571428571428</v>
      </c>
      <c r="C20" s="496"/>
      <c r="D20" s="496" t="s">
        <v>711</v>
      </c>
      <c r="E20" s="496" t="s">
        <v>711</v>
      </c>
      <c r="F20" s="496" t="s">
        <v>711</v>
      </c>
    </row>
    <row r="21" spans="1:6" ht="15">
      <c r="A21" s="498" t="s">
        <v>475</v>
      </c>
      <c r="B21" s="504"/>
      <c r="C21" s="504"/>
      <c r="D21" s="503"/>
      <c r="E21" s="503"/>
      <c r="F21" s="503"/>
    </row>
    <row r="22" spans="1:6" ht="14.25">
      <c r="A22" s="303" t="s">
        <v>476</v>
      </c>
      <c r="B22" s="305" t="s">
        <v>711</v>
      </c>
      <c r="C22" s="305">
        <v>0.9</v>
      </c>
      <c r="D22" s="305" t="s">
        <v>711</v>
      </c>
      <c r="E22" s="305" t="s">
        <v>711</v>
      </c>
      <c r="F22" s="305" t="s">
        <v>711</v>
      </c>
    </row>
    <row r="23" spans="1:6" ht="15">
      <c r="A23" s="306" t="s">
        <v>477</v>
      </c>
      <c r="B23" s="324"/>
      <c r="C23" s="324"/>
      <c r="D23" s="323"/>
      <c r="E23" s="323"/>
      <c r="F23" s="323"/>
    </row>
    <row r="24" spans="1:4" ht="12.75">
      <c r="A24" s="3"/>
      <c r="B24" s="3"/>
      <c r="C24" s="3"/>
      <c r="D24" s="3"/>
    </row>
    <row r="25" spans="1:4" ht="12.75">
      <c r="A25" s="69" t="s">
        <v>23</v>
      </c>
      <c r="B25" s="3"/>
      <c r="C25" s="3"/>
      <c r="D25" s="3"/>
    </row>
    <row r="26" spans="1:4" ht="12.75">
      <c r="A26" s="69"/>
      <c r="B26" s="3"/>
      <c r="C26" s="3"/>
      <c r="D26" s="3"/>
    </row>
    <row r="27" spans="1:4" ht="13.5" thickBot="1">
      <c r="A27" s="34"/>
      <c r="B27" s="34"/>
      <c r="C27" s="34"/>
      <c r="D27" s="34"/>
    </row>
    <row r="28" spans="1:6" ht="18.75" thickBot="1">
      <c r="A28" s="579" t="s">
        <v>707</v>
      </c>
      <c r="B28" s="580"/>
      <c r="C28" s="580"/>
      <c r="D28" s="580"/>
      <c r="E28" s="580"/>
      <c r="F28" s="581"/>
    </row>
    <row r="29" spans="1:6" ht="15.75">
      <c r="A29" s="510" t="s">
        <v>12</v>
      </c>
      <c r="B29" s="510"/>
      <c r="C29" s="510"/>
      <c r="D29" s="510"/>
      <c r="E29" s="510"/>
      <c r="F29" s="510"/>
    </row>
    <row r="30" spans="1:6" ht="15">
      <c r="A30" s="617" t="s">
        <v>13</v>
      </c>
      <c r="B30" s="617"/>
      <c r="C30" s="617"/>
      <c r="D30" s="617"/>
      <c r="E30" s="617"/>
      <c r="F30" s="617"/>
    </row>
    <row r="31" spans="1:4" ht="15">
      <c r="A31" s="296"/>
      <c r="B31" s="34"/>
      <c r="C31" s="34"/>
      <c r="D31" s="34"/>
    </row>
    <row r="32" spans="1:6" ht="15" customHeight="1">
      <c r="A32" s="597" t="s">
        <v>461</v>
      </c>
      <c r="B32" s="597" t="s">
        <v>462</v>
      </c>
      <c r="C32" s="605" t="s">
        <v>463</v>
      </c>
      <c r="D32" s="606"/>
      <c r="E32" s="597" t="s">
        <v>464</v>
      </c>
      <c r="F32" s="597" t="s">
        <v>465</v>
      </c>
    </row>
    <row r="33" spans="1:6" ht="25.5">
      <c r="A33" s="598"/>
      <c r="B33" s="598"/>
      <c r="C33" s="297" t="s">
        <v>466</v>
      </c>
      <c r="D33" s="297" t="s">
        <v>467</v>
      </c>
      <c r="E33" s="598"/>
      <c r="F33" s="598"/>
    </row>
    <row r="34" spans="1:6" ht="15" customHeight="1">
      <c r="A34" s="610" t="s">
        <v>714</v>
      </c>
      <c r="B34" s="599" t="s">
        <v>468</v>
      </c>
      <c r="C34" s="607" t="s">
        <v>469</v>
      </c>
      <c r="D34" s="608"/>
      <c r="E34" s="599" t="s">
        <v>470</v>
      </c>
      <c r="F34" s="599" t="s">
        <v>471</v>
      </c>
    </row>
    <row r="35" spans="1:6" ht="25.5" customHeight="1">
      <c r="A35" s="611"/>
      <c r="B35" s="600"/>
      <c r="C35" s="298" t="s">
        <v>472</v>
      </c>
      <c r="D35" s="298" t="s">
        <v>473</v>
      </c>
      <c r="E35" s="600"/>
      <c r="F35" s="600"/>
    </row>
    <row r="36" spans="1:6" ht="15">
      <c r="A36" s="5" t="s">
        <v>688</v>
      </c>
      <c r="B36" s="335">
        <v>8</v>
      </c>
      <c r="C36" s="320">
        <v>2.25</v>
      </c>
      <c r="D36" s="320">
        <v>1.25</v>
      </c>
      <c r="E36" s="335" t="s">
        <v>711</v>
      </c>
      <c r="F36" s="335" t="s">
        <v>711</v>
      </c>
    </row>
    <row r="37" spans="1:6" ht="15">
      <c r="A37" s="5" t="s">
        <v>802</v>
      </c>
      <c r="B37" s="335">
        <v>8</v>
      </c>
      <c r="C37" s="320">
        <v>2.1</v>
      </c>
      <c r="D37" s="320">
        <v>1.35</v>
      </c>
      <c r="E37" s="335" t="s">
        <v>711</v>
      </c>
      <c r="F37" s="335" t="s">
        <v>711</v>
      </c>
    </row>
    <row r="38" spans="1:6" ht="15">
      <c r="A38" s="5" t="s">
        <v>697</v>
      </c>
      <c r="B38" s="335">
        <v>8</v>
      </c>
      <c r="C38" s="320">
        <v>2.45</v>
      </c>
      <c r="D38" s="320">
        <v>1.17</v>
      </c>
      <c r="E38" s="335" t="s">
        <v>711</v>
      </c>
      <c r="F38" s="335" t="s">
        <v>711</v>
      </c>
    </row>
    <row r="39" spans="1:6" ht="15">
      <c r="A39" s="5" t="s">
        <v>828</v>
      </c>
      <c r="B39" s="335">
        <v>8</v>
      </c>
      <c r="C39" s="320">
        <v>2.27</v>
      </c>
      <c r="D39" s="320">
        <v>1.18</v>
      </c>
      <c r="E39" s="335" t="s">
        <v>711</v>
      </c>
      <c r="F39" s="335" t="s">
        <v>711</v>
      </c>
    </row>
    <row r="40" spans="1:6" ht="14.25">
      <c r="A40" s="495" t="s">
        <v>474</v>
      </c>
      <c r="B40" s="496">
        <v>8</v>
      </c>
      <c r="C40" s="507">
        <f>AVERAGE(C36:C39)</f>
        <v>2.2675</v>
      </c>
      <c r="D40" s="507">
        <f>AVERAGE(D36:D39)</f>
        <v>1.2375</v>
      </c>
      <c r="E40" s="496" t="s">
        <v>711</v>
      </c>
      <c r="F40" s="496" t="s">
        <v>711</v>
      </c>
    </row>
    <row r="41" spans="1:6" ht="14.25">
      <c r="A41" s="498" t="s">
        <v>475</v>
      </c>
      <c r="B41" s="492"/>
      <c r="C41" s="612">
        <f>+C40+D40</f>
        <v>3.505</v>
      </c>
      <c r="D41" s="613"/>
      <c r="E41" s="492"/>
      <c r="F41" s="492"/>
    </row>
    <row r="42" spans="1:6" ht="14.25">
      <c r="A42" s="303" t="s">
        <v>476</v>
      </c>
      <c r="B42" s="305" t="s">
        <v>711</v>
      </c>
      <c r="C42" s="304">
        <v>2.39</v>
      </c>
      <c r="D42" s="304">
        <v>1.34</v>
      </c>
      <c r="E42" s="305" t="s">
        <v>711</v>
      </c>
      <c r="F42" s="305" t="s">
        <v>711</v>
      </c>
    </row>
    <row r="43" spans="1:6" ht="14.25">
      <c r="A43" s="306" t="s">
        <v>477</v>
      </c>
      <c r="B43" s="218"/>
      <c r="C43" s="614">
        <f>+C42+D42</f>
        <v>3.7300000000000004</v>
      </c>
      <c r="D43" s="616"/>
      <c r="E43" s="218"/>
      <c r="F43" s="218"/>
    </row>
    <row r="44" spans="1:4" ht="12.75">
      <c r="A44" s="3"/>
      <c r="B44" s="3"/>
      <c r="C44" s="3"/>
      <c r="D44" s="3"/>
    </row>
    <row r="45" spans="1:4" ht="12.75">
      <c r="A45" s="69" t="s">
        <v>870</v>
      </c>
      <c r="B45" s="3"/>
      <c r="C45" s="3"/>
      <c r="D45" s="3"/>
    </row>
    <row r="46" spans="1:6" ht="12.75">
      <c r="A46" s="519" t="s">
        <v>24</v>
      </c>
      <c r="B46" s="519"/>
      <c r="C46" s="519"/>
      <c r="D46" s="519"/>
      <c r="E46" s="519"/>
      <c r="F46" s="519"/>
    </row>
    <row r="47" spans="1:6" ht="25.5" customHeight="1">
      <c r="A47" s="519" t="s">
        <v>25</v>
      </c>
      <c r="B47" s="519"/>
      <c r="C47" s="519"/>
      <c r="D47" s="519"/>
      <c r="E47" s="519"/>
      <c r="F47" s="519"/>
    </row>
  </sheetData>
  <mergeCells count="30">
    <mergeCell ref="A47:F47"/>
    <mergeCell ref="E34:E35"/>
    <mergeCell ref="A28:F28"/>
    <mergeCell ref="A29:F29"/>
    <mergeCell ref="A30:F30"/>
    <mergeCell ref="E32:E33"/>
    <mergeCell ref="F32:F33"/>
    <mergeCell ref="F34:F35"/>
    <mergeCell ref="A32:A33"/>
    <mergeCell ref="B32:B33"/>
    <mergeCell ref="F11:F12"/>
    <mergeCell ref="A9:A10"/>
    <mergeCell ref="B9:B10"/>
    <mergeCell ref="C9:D9"/>
    <mergeCell ref="A11:A12"/>
    <mergeCell ref="B11:B12"/>
    <mergeCell ref="C11:D11"/>
    <mergeCell ref="E11:E12"/>
    <mergeCell ref="A5:F5"/>
    <mergeCell ref="A6:F6"/>
    <mergeCell ref="A7:F7"/>
    <mergeCell ref="E9:E10"/>
    <mergeCell ref="F9:F10"/>
    <mergeCell ref="C41:D41"/>
    <mergeCell ref="C43:D43"/>
    <mergeCell ref="A46:F46"/>
    <mergeCell ref="C32:D32"/>
    <mergeCell ref="A34:A35"/>
    <mergeCell ref="B34:B35"/>
    <mergeCell ref="C34:D34"/>
  </mergeCells>
  <printOptions horizontalCentered="1"/>
  <pageMargins left="0.75" right="0.75" top="1" bottom="1" header="0" footer="0"/>
  <pageSetup fitToHeight="1" fitToWidth="1" horizontalDpi="300" verticalDpi="300" orientation="portrait" r:id="rId1"/>
  <headerFooter alignWithMargins="0">
    <oddFooter>&amp;C97</oddFooter>
  </headerFooter>
</worksheet>
</file>

<file path=xl/worksheets/sheet77.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5" sqref="A5:F5"/>
    </sheetView>
  </sheetViews>
  <sheetFormatPr defaultColWidth="11.421875" defaultRowHeight="12.75"/>
  <cols>
    <col min="1" max="1" width="20.7109375" style="0" customWidth="1"/>
    <col min="2" max="6" width="15.7109375" style="0" customWidth="1"/>
  </cols>
  <sheetData>
    <row r="1" ht="12.75">
      <c r="A1" s="1" t="s">
        <v>658</v>
      </c>
    </row>
    <row r="2" spans="1:4" ht="12.75">
      <c r="A2" s="1" t="s">
        <v>659</v>
      </c>
      <c r="B2" s="34"/>
      <c r="C2" s="34"/>
      <c r="D2" s="34"/>
    </row>
    <row r="3" spans="1:4" ht="12.75">
      <c r="A3" s="1"/>
      <c r="B3" s="34"/>
      <c r="C3" s="34"/>
      <c r="D3" s="34"/>
    </row>
    <row r="4" spans="1:4" ht="13.5" thickBot="1">
      <c r="A4" s="1"/>
      <c r="B4" s="34"/>
      <c r="C4" s="34"/>
      <c r="D4" s="34"/>
    </row>
    <row r="5" spans="1:6" ht="18.75" thickBot="1">
      <c r="A5" s="625" t="s">
        <v>708</v>
      </c>
      <c r="B5" s="626"/>
      <c r="C5" s="626"/>
      <c r="D5" s="626"/>
      <c r="E5" s="626"/>
      <c r="F5" s="627"/>
    </row>
    <row r="6" spans="1:6" ht="15.75">
      <c r="A6" s="510" t="s">
        <v>12</v>
      </c>
      <c r="B6" s="510"/>
      <c r="C6" s="510"/>
      <c r="D6" s="510"/>
      <c r="E6" s="510"/>
      <c r="F6" s="510"/>
    </row>
    <row r="7" spans="1:6" ht="15">
      <c r="A7" s="617" t="s">
        <v>13</v>
      </c>
      <c r="B7" s="617"/>
      <c r="C7" s="617"/>
      <c r="D7" s="617"/>
      <c r="E7" s="617"/>
      <c r="F7" s="617"/>
    </row>
    <row r="8" spans="1:4" ht="15">
      <c r="A8" s="296"/>
      <c r="B8" s="34"/>
      <c r="C8" s="34"/>
      <c r="D8" s="34"/>
    </row>
    <row r="9" spans="1:6" ht="15" customHeight="1">
      <c r="A9" s="597" t="s">
        <v>461</v>
      </c>
      <c r="B9" s="597" t="s">
        <v>462</v>
      </c>
      <c r="C9" s="605" t="s">
        <v>463</v>
      </c>
      <c r="D9" s="606"/>
      <c r="E9" s="597" t="s">
        <v>464</v>
      </c>
      <c r="F9" s="597" t="s">
        <v>465</v>
      </c>
    </row>
    <row r="10" spans="1:6" ht="25.5">
      <c r="A10" s="598"/>
      <c r="B10" s="598"/>
      <c r="C10" s="297" t="s">
        <v>466</v>
      </c>
      <c r="D10" s="297" t="s">
        <v>467</v>
      </c>
      <c r="E10" s="598"/>
      <c r="F10" s="598"/>
    </row>
    <row r="11" spans="1:6" ht="15" customHeight="1">
      <c r="A11" s="610" t="s">
        <v>714</v>
      </c>
      <c r="B11" s="599" t="s">
        <v>468</v>
      </c>
      <c r="C11" s="607" t="s">
        <v>469</v>
      </c>
      <c r="D11" s="608"/>
      <c r="E11" s="599" t="s">
        <v>470</v>
      </c>
      <c r="F11" s="599" t="s">
        <v>471</v>
      </c>
    </row>
    <row r="12" spans="1:6" ht="25.5" customHeight="1">
      <c r="A12" s="611"/>
      <c r="B12" s="600"/>
      <c r="C12" s="298" t="s">
        <v>472</v>
      </c>
      <c r="D12" s="298" t="s">
        <v>473</v>
      </c>
      <c r="E12" s="600"/>
      <c r="F12" s="600"/>
    </row>
    <row r="13" spans="1:6" ht="15">
      <c r="A13" s="28" t="s">
        <v>26</v>
      </c>
      <c r="B13" s="337" t="s">
        <v>711</v>
      </c>
      <c r="C13" s="320">
        <v>1.95</v>
      </c>
      <c r="D13" s="320">
        <v>0.85</v>
      </c>
      <c r="E13" s="338">
        <v>0.00273</v>
      </c>
      <c r="F13" s="339" t="s">
        <v>711</v>
      </c>
    </row>
    <row r="14" spans="1:6" ht="15">
      <c r="A14" s="5" t="s">
        <v>709</v>
      </c>
      <c r="B14" s="337" t="s">
        <v>711</v>
      </c>
      <c r="C14" s="320">
        <v>1.21</v>
      </c>
      <c r="D14" s="320">
        <v>1.21</v>
      </c>
      <c r="E14" s="338">
        <v>0.0026</v>
      </c>
      <c r="F14" s="339" t="s">
        <v>711</v>
      </c>
    </row>
    <row r="15" spans="1:6" ht="15">
      <c r="A15" s="5" t="s">
        <v>710</v>
      </c>
      <c r="B15" s="337" t="s">
        <v>711</v>
      </c>
      <c r="C15" s="320">
        <v>1.793</v>
      </c>
      <c r="D15" s="320">
        <v>0.75</v>
      </c>
      <c r="E15" s="338">
        <v>0.00255</v>
      </c>
      <c r="F15" s="339" t="s">
        <v>711</v>
      </c>
    </row>
    <row r="16" spans="1:6" ht="15">
      <c r="A16" s="5" t="s">
        <v>27</v>
      </c>
      <c r="B16" s="111">
        <v>0.4794117647058823</v>
      </c>
      <c r="C16" s="320">
        <v>1.98</v>
      </c>
      <c r="D16" s="320">
        <v>0.78</v>
      </c>
      <c r="E16" s="338">
        <v>0.00245</v>
      </c>
      <c r="F16" s="339" t="s">
        <v>711</v>
      </c>
    </row>
    <row r="17" spans="1:6" ht="14.25">
      <c r="A17" s="495" t="s">
        <v>474</v>
      </c>
      <c r="B17" s="496">
        <v>0.18</v>
      </c>
      <c r="C17" s="497">
        <v>1.733</v>
      </c>
      <c r="D17" s="497">
        <v>0.898</v>
      </c>
      <c r="E17" s="508">
        <v>0.00258</v>
      </c>
      <c r="F17" s="496" t="s">
        <v>711</v>
      </c>
    </row>
    <row r="18" spans="1:6" ht="15">
      <c r="A18" s="498" t="s">
        <v>475</v>
      </c>
      <c r="B18" s="503"/>
      <c r="C18" s="612">
        <f>+C17+D17</f>
        <v>2.6310000000000002</v>
      </c>
      <c r="D18" s="613"/>
      <c r="E18" s="503"/>
      <c r="F18" s="503"/>
    </row>
    <row r="19" spans="1:6" ht="14.25">
      <c r="A19" s="303" t="s">
        <v>476</v>
      </c>
      <c r="B19" s="305" t="s">
        <v>711</v>
      </c>
      <c r="C19" s="304">
        <v>1.978</v>
      </c>
      <c r="D19" s="304">
        <v>0.764</v>
      </c>
      <c r="E19" s="305" t="s">
        <v>711</v>
      </c>
      <c r="F19" s="305" t="s">
        <v>711</v>
      </c>
    </row>
    <row r="20" spans="1:6" ht="15">
      <c r="A20" s="306" t="s">
        <v>477</v>
      </c>
      <c r="B20" s="323"/>
      <c r="C20" s="614">
        <f>+C19+D19</f>
        <v>2.742</v>
      </c>
      <c r="D20" s="616"/>
      <c r="E20" s="323"/>
      <c r="F20" s="323"/>
    </row>
    <row r="21" spans="1:6" ht="12.75">
      <c r="A21" s="3"/>
      <c r="B21" s="340"/>
      <c r="C21" s="341"/>
      <c r="D21" s="341"/>
      <c r="E21" s="126"/>
      <c r="F21" s="126"/>
    </row>
    <row r="22" spans="1:4" ht="14.25">
      <c r="A22" s="71" t="s">
        <v>28</v>
      </c>
      <c r="B22" s="342"/>
      <c r="C22" s="3"/>
      <c r="D22" s="3"/>
    </row>
    <row r="23" spans="1:4" ht="12.75">
      <c r="A23" s="72" t="s">
        <v>29</v>
      </c>
      <c r="B23" s="18"/>
      <c r="C23" s="309"/>
      <c r="D23" s="18"/>
    </row>
    <row r="24" spans="1:6" ht="12.75">
      <c r="A24" s="519"/>
      <c r="B24" s="519"/>
      <c r="C24" s="519"/>
      <c r="D24" s="519"/>
      <c r="E24" s="619"/>
      <c r="F24" s="619"/>
    </row>
  </sheetData>
  <mergeCells count="16">
    <mergeCell ref="C18:D18"/>
    <mergeCell ref="C20:D20"/>
    <mergeCell ref="A5:F5"/>
    <mergeCell ref="A6:F6"/>
    <mergeCell ref="A7:F7"/>
    <mergeCell ref="B9:B10"/>
    <mergeCell ref="A24:F24"/>
    <mergeCell ref="C9:D9"/>
    <mergeCell ref="E9:E10"/>
    <mergeCell ref="F9:F10"/>
    <mergeCell ref="A11:A12"/>
    <mergeCell ref="B11:B12"/>
    <mergeCell ref="C11:D11"/>
    <mergeCell ref="E11:E12"/>
    <mergeCell ref="F11:F12"/>
    <mergeCell ref="A9:A10"/>
  </mergeCells>
  <printOptions horizontalCentered="1"/>
  <pageMargins left="0.75" right="0.75" top="1" bottom="1" header="0" footer="0"/>
  <pageSetup fitToHeight="1" fitToWidth="1" horizontalDpi="300" verticalDpi="300" orientation="portrait" r:id="rId1"/>
  <headerFooter alignWithMargins="0">
    <oddFooter>&amp;C98</oddFooter>
  </headerFooter>
</worksheet>
</file>

<file path=xl/worksheets/sheet78.xml><?xml version="1.0" encoding="utf-8"?>
<worksheet xmlns="http://schemas.openxmlformats.org/spreadsheetml/2006/main" xmlns:r="http://schemas.openxmlformats.org/officeDocument/2006/relationships">
  <dimension ref="B13:H23"/>
  <sheetViews>
    <sheetView workbookViewId="0" topLeftCell="A7">
      <selection activeCell="F10" sqref="F10"/>
    </sheetView>
  </sheetViews>
  <sheetFormatPr defaultColWidth="11.421875" defaultRowHeight="12.75"/>
  <cols>
    <col min="1" max="1" width="11.7109375" style="0" customWidth="1"/>
    <col min="2" max="2" width="0.42578125" style="0" customWidth="1"/>
    <col min="7" max="7" width="30.28125" style="0" customWidth="1"/>
    <col min="8" max="8" width="0.42578125" style="0" customWidth="1"/>
  </cols>
  <sheetData>
    <row r="13" spans="2:8" ht="2.25" customHeight="1">
      <c r="B13" s="479"/>
      <c r="C13" s="493"/>
      <c r="D13" s="494"/>
      <c r="E13" s="493"/>
      <c r="F13" s="493"/>
      <c r="G13" s="493"/>
      <c r="H13" s="479"/>
    </row>
    <row r="14" spans="2:8" ht="30">
      <c r="B14" s="478"/>
      <c r="C14" s="533" t="s">
        <v>647</v>
      </c>
      <c r="D14" s="533"/>
      <c r="E14" s="533"/>
      <c r="F14" s="533"/>
      <c r="G14" s="533"/>
      <c r="H14" s="478"/>
    </row>
    <row r="15" spans="2:8" ht="12.75">
      <c r="B15" s="478"/>
      <c r="C15" s="471"/>
      <c r="D15" s="471"/>
      <c r="E15" s="471"/>
      <c r="F15" s="471"/>
      <c r="G15" s="471"/>
      <c r="H15" s="478"/>
    </row>
    <row r="16" spans="2:8" ht="12.75">
      <c r="B16" s="478"/>
      <c r="C16" s="532" t="s">
        <v>648</v>
      </c>
      <c r="D16" s="532"/>
      <c r="E16" s="532"/>
      <c r="F16" s="532"/>
      <c r="G16" s="532"/>
      <c r="H16" s="478"/>
    </row>
    <row r="17" spans="2:8" ht="12.75">
      <c r="B17" s="478"/>
      <c r="C17" s="532"/>
      <c r="D17" s="532"/>
      <c r="E17" s="532"/>
      <c r="F17" s="532"/>
      <c r="G17" s="532"/>
      <c r="H17" s="478"/>
    </row>
    <row r="18" spans="2:8" ht="12.75">
      <c r="B18" s="478"/>
      <c r="C18" s="532"/>
      <c r="D18" s="532"/>
      <c r="E18" s="532"/>
      <c r="F18" s="532"/>
      <c r="G18" s="532"/>
      <c r="H18" s="478"/>
    </row>
    <row r="19" spans="2:8" ht="12.75">
      <c r="B19" s="478"/>
      <c r="C19" s="532"/>
      <c r="D19" s="532"/>
      <c r="E19" s="532"/>
      <c r="F19" s="532"/>
      <c r="G19" s="532"/>
      <c r="H19" s="478"/>
    </row>
    <row r="20" spans="2:8" ht="12.75">
      <c r="B20" s="478"/>
      <c r="C20" s="532"/>
      <c r="D20" s="532"/>
      <c r="E20" s="532"/>
      <c r="F20" s="532"/>
      <c r="G20" s="532"/>
      <c r="H20" s="478"/>
    </row>
    <row r="21" spans="2:8" ht="12.75">
      <c r="B21" s="478"/>
      <c r="C21" s="532"/>
      <c r="D21" s="532"/>
      <c r="E21" s="532"/>
      <c r="F21" s="532"/>
      <c r="G21" s="532"/>
      <c r="H21" s="478"/>
    </row>
    <row r="22" spans="2:8" ht="54.75" customHeight="1">
      <c r="B22" s="478"/>
      <c r="C22" s="532"/>
      <c r="D22" s="532"/>
      <c r="E22" s="532"/>
      <c r="F22" s="532"/>
      <c r="G22" s="532"/>
      <c r="H22" s="478"/>
    </row>
    <row r="23" spans="2:8" ht="2.25" customHeight="1">
      <c r="B23" s="479"/>
      <c r="C23" s="493"/>
      <c r="D23" s="493"/>
      <c r="E23" s="493"/>
      <c r="F23" s="493"/>
      <c r="G23" s="493"/>
      <c r="H23" s="479"/>
    </row>
  </sheetData>
  <mergeCells count="2">
    <mergeCell ref="C14:G14"/>
    <mergeCell ref="C16:G22"/>
  </mergeCells>
  <printOptions horizontalCentered="1"/>
  <pageMargins left="0.75" right="0.75" top="1" bottom="1" header="0" footer="0"/>
  <pageSetup horizontalDpi="300" verticalDpi="300" orientation="portrait" scale="90" r:id="rId1"/>
  <headerFooter alignWithMargins="0">
    <oddFooter>&amp;C99</oddFooter>
  </headerFooter>
</worksheet>
</file>

<file path=xl/worksheets/sheet79.xml><?xml version="1.0" encoding="utf-8"?>
<worksheet xmlns="http://schemas.openxmlformats.org/spreadsheetml/2006/main" xmlns:r="http://schemas.openxmlformats.org/officeDocument/2006/relationships">
  <dimension ref="B9:B9"/>
  <sheetViews>
    <sheetView workbookViewId="0" topLeftCell="A1">
      <selection activeCell="B22" sqref="B22"/>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&amp;C100</oddFooter>
  </headerFooter>
</worksheet>
</file>

<file path=xl/worksheets/sheet8.xml><?xml version="1.0" encoding="utf-8"?>
<worksheet xmlns="http://schemas.openxmlformats.org/spreadsheetml/2006/main" xmlns:r="http://schemas.openxmlformats.org/officeDocument/2006/relationships">
  <dimension ref="A1:H51"/>
  <sheetViews>
    <sheetView tabSelected="1"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s>
  <sheetData>
    <row r="1" spans="1:6" ht="14.25">
      <c r="A1" s="1" t="s">
        <v>658</v>
      </c>
      <c r="B1" s="2"/>
      <c r="C1" s="2"/>
      <c r="D1" s="2"/>
      <c r="E1" s="2"/>
      <c r="F1" s="3"/>
    </row>
    <row r="2" spans="1:6" ht="14.25">
      <c r="A2" s="1" t="s">
        <v>659</v>
      </c>
      <c r="B2" s="2"/>
      <c r="C2" s="2"/>
      <c r="D2" s="2"/>
      <c r="E2" s="2"/>
      <c r="F2" s="3"/>
    </row>
    <row r="3" spans="1:6" ht="14.25">
      <c r="A3" s="1"/>
      <c r="B3" s="2"/>
      <c r="C3" s="2"/>
      <c r="D3" s="2"/>
      <c r="E3" s="2"/>
      <c r="F3" s="3"/>
    </row>
    <row r="4" spans="1:6" ht="13.5" thickBot="1">
      <c r="A4" s="4"/>
      <c r="B4" s="4"/>
      <c r="C4" s="4"/>
      <c r="D4" s="4"/>
      <c r="E4" s="4"/>
      <c r="F4" s="4"/>
    </row>
    <row r="5" spans="1:6" ht="18">
      <c r="A5" s="522" t="s">
        <v>675</v>
      </c>
      <c r="B5" s="523"/>
      <c r="C5" s="523"/>
      <c r="D5" s="523"/>
      <c r="E5" s="523"/>
      <c r="F5" s="524"/>
    </row>
    <row r="6" spans="1:6" ht="18.75" thickBot="1">
      <c r="A6" s="516" t="s">
        <v>906</v>
      </c>
      <c r="B6" s="517"/>
      <c r="C6" s="517"/>
      <c r="D6" s="517"/>
      <c r="E6" s="517"/>
      <c r="F6" s="518"/>
    </row>
    <row r="7" spans="1:6" ht="15.75">
      <c r="A7" s="510" t="s">
        <v>1048</v>
      </c>
      <c r="B7" s="510"/>
      <c r="C7" s="510"/>
      <c r="D7" s="510"/>
      <c r="E7" s="510"/>
      <c r="F7" s="510"/>
    </row>
    <row r="8" spans="1:6" ht="15.75">
      <c r="A8" s="511" t="s">
        <v>1049</v>
      </c>
      <c r="B8" s="511"/>
      <c r="C8" s="511"/>
      <c r="D8" s="511"/>
      <c r="E8" s="511"/>
      <c r="F8" s="511"/>
    </row>
    <row r="9" spans="1:6" ht="15.75">
      <c r="A9" s="6"/>
      <c r="B9" s="5"/>
      <c r="C9" s="5"/>
      <c r="D9" s="5"/>
      <c r="E9" s="5"/>
      <c r="F9" s="5"/>
    </row>
    <row r="10" spans="1:6" ht="15">
      <c r="A10" s="2"/>
      <c r="C10" s="5"/>
      <c r="E10" s="5"/>
      <c r="F10" s="5"/>
    </row>
    <row r="11" spans="1:6" ht="15">
      <c r="A11" s="7" t="s">
        <v>774</v>
      </c>
      <c r="B11" s="527" t="s">
        <v>798</v>
      </c>
      <c r="C11" s="527"/>
      <c r="D11" s="527"/>
      <c r="E11" s="527"/>
      <c r="F11" s="527"/>
    </row>
    <row r="12" spans="1:6" ht="15">
      <c r="A12" s="9" t="s">
        <v>664</v>
      </c>
      <c r="B12" s="170" t="s">
        <v>979</v>
      </c>
      <c r="C12" s="8" t="s">
        <v>665</v>
      </c>
      <c r="D12" s="173" t="s">
        <v>921</v>
      </c>
      <c r="E12" s="8" t="s">
        <v>665</v>
      </c>
      <c r="F12" s="8" t="s">
        <v>883</v>
      </c>
    </row>
    <row r="13" spans="1:6" ht="6.75" customHeight="1">
      <c r="A13" s="5"/>
      <c r="B13" s="11"/>
      <c r="C13" s="12"/>
      <c r="D13" s="11"/>
      <c r="E13" s="12"/>
      <c r="F13" s="12"/>
    </row>
    <row r="14" spans="1:6" ht="15">
      <c r="A14" s="29" t="s">
        <v>718</v>
      </c>
      <c r="B14" s="11">
        <v>73926</v>
      </c>
      <c r="C14" s="30">
        <f aca="true" t="shared" si="0" ref="C14:C34">+B14/$B$36</f>
        <v>0.04370130407538336</v>
      </c>
      <c r="D14" s="131">
        <v>73454</v>
      </c>
      <c r="E14" s="30">
        <f aca="true" t="shared" si="1" ref="E14:E26">+D14/$D$36</f>
        <v>0.044968376922836756</v>
      </c>
      <c r="F14" s="30">
        <f aca="true" t="shared" si="2" ref="F14:F34">+(B14-D14)/D14</f>
        <v>0.00642579029052196</v>
      </c>
    </row>
    <row r="15" spans="1:6" ht="15">
      <c r="A15" s="29" t="s">
        <v>721</v>
      </c>
      <c r="B15" s="11">
        <v>38816</v>
      </c>
      <c r="C15" s="30">
        <f t="shared" si="0"/>
        <v>0.022946051713741856</v>
      </c>
      <c r="D15" s="131">
        <v>39293</v>
      </c>
      <c r="E15" s="30">
        <f t="shared" si="1"/>
        <v>0.024055088006494193</v>
      </c>
      <c r="F15" s="30">
        <f t="shared" si="2"/>
        <v>-0.01213956684396712</v>
      </c>
    </row>
    <row r="16" spans="1:6" ht="15">
      <c r="A16" s="29" t="s">
        <v>720</v>
      </c>
      <c r="B16" s="11">
        <v>49321</v>
      </c>
      <c r="C16" s="30">
        <f t="shared" si="0"/>
        <v>0.029156075241484496</v>
      </c>
      <c r="D16" s="131">
        <v>51600</v>
      </c>
      <c r="E16" s="30">
        <f t="shared" si="1"/>
        <v>0.03158940628445526</v>
      </c>
      <c r="F16" s="30">
        <f>+(B16-D16)/D16</f>
        <v>-0.04416666666666667</v>
      </c>
    </row>
    <row r="17" spans="1:6" ht="15">
      <c r="A17" s="29" t="s">
        <v>719</v>
      </c>
      <c r="B17" s="11">
        <v>33344</v>
      </c>
      <c r="C17" s="30">
        <f t="shared" si="0"/>
        <v>0.01971128267577825</v>
      </c>
      <c r="D17" s="131">
        <v>39895</v>
      </c>
      <c r="E17" s="30">
        <f t="shared" si="1"/>
        <v>0.024423631079812838</v>
      </c>
      <c r="F17" s="30">
        <f t="shared" si="2"/>
        <v>-0.16420604085725027</v>
      </c>
    </row>
    <row r="18" spans="1:6" ht="15">
      <c r="A18" s="29" t="s">
        <v>907</v>
      </c>
      <c r="B18" s="11">
        <v>20271</v>
      </c>
      <c r="C18" s="30">
        <f t="shared" si="0"/>
        <v>0.011983187713552688</v>
      </c>
      <c r="D18" s="131">
        <v>20898</v>
      </c>
      <c r="E18" s="30">
        <f t="shared" si="1"/>
        <v>0.012793709545204379</v>
      </c>
      <c r="F18" s="30">
        <f t="shared" si="2"/>
        <v>-0.030002871088142407</v>
      </c>
    </row>
    <row r="19" spans="1:6" ht="15">
      <c r="A19" s="29" t="s">
        <v>722</v>
      </c>
      <c r="B19" s="11">
        <v>84</v>
      </c>
      <c r="C19" s="30">
        <f t="shared" si="0"/>
        <v>4.965654224944137E-05</v>
      </c>
      <c r="D19" s="131">
        <v>87</v>
      </c>
      <c r="E19" s="30">
        <f t="shared" si="1"/>
        <v>5.326120827030247E-05</v>
      </c>
      <c r="F19" s="30">
        <f t="shared" si="2"/>
        <v>-0.034482758620689655</v>
      </c>
    </row>
    <row r="20" spans="1:6" ht="15">
      <c r="A20" s="29" t="s">
        <v>724</v>
      </c>
      <c r="B20" s="11">
        <v>34796</v>
      </c>
      <c r="C20" s="30">
        <f t="shared" si="0"/>
        <v>0.020569631477518592</v>
      </c>
      <c r="D20" s="131">
        <v>21989</v>
      </c>
      <c r="E20" s="30">
        <f t="shared" si="1"/>
        <v>0.013461617340869897</v>
      </c>
      <c r="F20" s="30">
        <f>+(B20-D20)/D20</f>
        <v>0.5824275774250762</v>
      </c>
    </row>
    <row r="21" spans="1:6" ht="15">
      <c r="A21" s="28" t="s">
        <v>723</v>
      </c>
      <c r="B21" s="11">
        <v>27038</v>
      </c>
      <c r="C21" s="30">
        <f t="shared" si="0"/>
        <v>0.015983495111195185</v>
      </c>
      <c r="D21" s="131">
        <v>36266</v>
      </c>
      <c r="E21" s="30">
        <f t="shared" si="1"/>
        <v>0.022201965277365395</v>
      </c>
      <c r="F21" s="30">
        <f t="shared" si="2"/>
        <v>-0.2544532068604202</v>
      </c>
    </row>
    <row r="22" spans="1:6" ht="15">
      <c r="A22" s="29" t="s">
        <v>725</v>
      </c>
      <c r="B22" s="11">
        <v>11492</v>
      </c>
      <c r="C22" s="30">
        <f t="shared" si="0"/>
        <v>0.006793487899173573</v>
      </c>
      <c r="D22" s="131">
        <v>11280</v>
      </c>
      <c r="E22" s="30">
        <f t="shared" si="1"/>
        <v>0.00690559114125301</v>
      </c>
      <c r="F22" s="30">
        <f t="shared" si="2"/>
        <v>0.01879432624113475</v>
      </c>
    </row>
    <row r="23" spans="1:6" ht="15">
      <c r="A23" s="29" t="s">
        <v>726</v>
      </c>
      <c r="B23" s="11">
        <v>4807</v>
      </c>
      <c r="C23" s="30">
        <f t="shared" si="0"/>
        <v>0.0028416547451555313</v>
      </c>
      <c r="D23" s="131">
        <v>4807</v>
      </c>
      <c r="E23" s="30">
        <f t="shared" si="1"/>
        <v>0.002942834806383264</v>
      </c>
      <c r="F23" s="30">
        <f t="shared" si="2"/>
        <v>0</v>
      </c>
    </row>
    <row r="24" spans="1:6" ht="15">
      <c r="A24" s="29" t="s">
        <v>730</v>
      </c>
      <c r="B24" s="11">
        <v>13252</v>
      </c>
      <c r="C24" s="30">
        <f t="shared" si="0"/>
        <v>0.007833910689161868</v>
      </c>
      <c r="D24" s="131">
        <v>14824</v>
      </c>
      <c r="E24" s="30">
        <f t="shared" si="1"/>
        <v>0.009075220131022573</v>
      </c>
      <c r="F24" s="30">
        <f t="shared" si="2"/>
        <v>-0.10604425256341068</v>
      </c>
    </row>
    <row r="25" spans="1:6" ht="15">
      <c r="A25" s="29" t="s">
        <v>728</v>
      </c>
      <c r="B25" s="11">
        <v>1801</v>
      </c>
      <c r="C25" s="30">
        <f t="shared" si="0"/>
        <v>0.0010646599118005226</v>
      </c>
      <c r="D25" s="131">
        <v>1759</v>
      </c>
      <c r="E25" s="30">
        <f t="shared" si="1"/>
        <v>0.0010768559235340464</v>
      </c>
      <c r="F25" s="30">
        <f t="shared" si="2"/>
        <v>0.023877202956225127</v>
      </c>
    </row>
    <row r="26" spans="1:6" ht="15">
      <c r="A26" s="29" t="s">
        <v>729</v>
      </c>
      <c r="B26" s="11">
        <v>7421</v>
      </c>
      <c r="C26" s="30">
        <f t="shared" si="0"/>
        <v>0.004386919048013147</v>
      </c>
      <c r="D26" s="131">
        <v>8098</v>
      </c>
      <c r="E26" s="30">
        <f t="shared" si="1"/>
        <v>0.004957577753711602</v>
      </c>
      <c r="F26" s="30">
        <f t="shared" si="2"/>
        <v>-0.08360088910842184</v>
      </c>
    </row>
    <row r="27" spans="1:6" ht="15">
      <c r="A27" s="29" t="s">
        <v>1047</v>
      </c>
      <c r="B27" s="11">
        <v>5977</v>
      </c>
      <c r="C27" s="30">
        <f t="shared" si="0"/>
        <v>0.0035332994407727505</v>
      </c>
      <c r="D27" s="131"/>
      <c r="E27" s="30"/>
      <c r="F27" s="30"/>
    </row>
    <row r="28" spans="1:6" ht="15">
      <c r="A28" s="29" t="s">
        <v>844</v>
      </c>
      <c r="B28" s="11">
        <v>6438</v>
      </c>
      <c r="C28" s="30">
        <f t="shared" si="0"/>
        <v>0.0038058192738321846</v>
      </c>
      <c r="D28" s="131">
        <v>6364</v>
      </c>
      <c r="E28" s="30">
        <f aca="true" t="shared" si="3" ref="E28:E34">+D28/$D$36</f>
        <v>0.003896026775082815</v>
      </c>
      <c r="F28" s="30">
        <f t="shared" si="2"/>
        <v>0.011627906976744186</v>
      </c>
    </row>
    <row r="29" spans="1:6" ht="15">
      <c r="A29" s="29" t="s">
        <v>732</v>
      </c>
      <c r="B29" s="11">
        <v>3505</v>
      </c>
      <c r="C29" s="30">
        <f t="shared" si="0"/>
        <v>0.0020719783402891904</v>
      </c>
      <c r="D29" s="131">
        <v>34717</v>
      </c>
      <c r="E29" s="30">
        <f t="shared" si="3"/>
        <v>0.021253670891035525</v>
      </c>
      <c r="F29" s="30">
        <f t="shared" si="2"/>
        <v>-0.8990408157386871</v>
      </c>
    </row>
    <row r="30" spans="1:6" ht="15">
      <c r="A30" s="29" t="s">
        <v>908</v>
      </c>
      <c r="B30" s="11">
        <v>91296</v>
      </c>
      <c r="C30" s="30">
        <f t="shared" si="0"/>
        <v>0.05396956763339284</v>
      </c>
      <c r="D30" s="131">
        <v>9908</v>
      </c>
      <c r="E30" s="30">
        <f t="shared" si="3"/>
        <v>0.006065655764852377</v>
      </c>
      <c r="F30" s="30">
        <f>+(B30-D30)/D30</f>
        <v>8.214372224465079</v>
      </c>
    </row>
    <row r="31" spans="1:8" ht="15">
      <c r="A31" s="29" t="s">
        <v>824</v>
      </c>
      <c r="B31" s="11">
        <v>13642</v>
      </c>
      <c r="C31" s="30">
        <f t="shared" si="0"/>
        <v>0.008064458921034275</v>
      </c>
      <c r="D31" s="131">
        <v>7665</v>
      </c>
      <c r="E31" s="30">
        <f t="shared" si="3"/>
        <v>0.004692496107952511</v>
      </c>
      <c r="F31" s="30">
        <f>+(B31-D31)/D31</f>
        <v>0.779778212654925</v>
      </c>
      <c r="H31" s="36"/>
    </row>
    <row r="32" spans="1:6" ht="15">
      <c r="A32" s="29" t="s">
        <v>731</v>
      </c>
      <c r="B32" s="11">
        <v>41683</v>
      </c>
      <c r="C32" s="30">
        <f t="shared" si="0"/>
        <v>0.02464087679266029</v>
      </c>
      <c r="D32" s="131">
        <v>48255</v>
      </c>
      <c r="E32" s="30">
        <f t="shared" si="3"/>
        <v>0.029541604656131558</v>
      </c>
      <c r="F32" s="30">
        <f>+(B32-D32)/D32</f>
        <v>-0.13619314060719095</v>
      </c>
    </row>
    <row r="33" spans="1:6" ht="15">
      <c r="A33" s="29" t="s">
        <v>727</v>
      </c>
      <c r="B33" s="11">
        <v>31343</v>
      </c>
      <c r="C33" s="30">
        <f t="shared" si="0"/>
        <v>0.018528392901479056</v>
      </c>
      <c r="D33" s="131">
        <v>13271</v>
      </c>
      <c r="E33" s="30">
        <f t="shared" si="3"/>
        <v>0.008124476953507863</v>
      </c>
      <c r="F33" s="30">
        <f t="shared" si="2"/>
        <v>1.361766257252656</v>
      </c>
    </row>
    <row r="34" spans="1:8" ht="15">
      <c r="A34" s="29" t="s">
        <v>733</v>
      </c>
      <c r="B34" s="11">
        <v>1181367</v>
      </c>
      <c r="C34" s="30">
        <f t="shared" si="0"/>
        <v>0.6983642898523309</v>
      </c>
      <c r="D34" s="131">
        <v>1189029</v>
      </c>
      <c r="E34" s="30">
        <f t="shared" si="3"/>
        <v>0.7279209334302238</v>
      </c>
      <c r="F34" s="30">
        <f t="shared" si="2"/>
        <v>-0.0064439134789815895</v>
      </c>
      <c r="H34" s="36"/>
    </row>
    <row r="35" ht="6.75" customHeight="1"/>
    <row r="36" spans="1:6" ht="14.25">
      <c r="A36" s="13" t="s">
        <v>674</v>
      </c>
      <c r="B36" s="14">
        <f>SUM(B14:B35)</f>
        <v>1691620</v>
      </c>
      <c r="C36" s="15">
        <f>SUM(C14:C34)</f>
        <v>1</v>
      </c>
      <c r="D36" s="14">
        <f>SUM(D14:D35)</f>
        <v>1633459</v>
      </c>
      <c r="E36" s="15">
        <f>SUM(E14:E34)</f>
        <v>1</v>
      </c>
      <c r="F36" s="32">
        <f>B36/D36-1</f>
        <v>0.035606036025391585</v>
      </c>
    </row>
    <row r="37" spans="1:6" ht="6.75" customHeight="1">
      <c r="A37" s="28"/>
      <c r="B37" s="28"/>
      <c r="C37" s="28"/>
      <c r="D37" s="28"/>
      <c r="E37" s="28"/>
      <c r="F37" s="28"/>
    </row>
    <row r="38" spans="1:6" s="74" customFormat="1" ht="12">
      <c r="A38" s="521" t="s">
        <v>867</v>
      </c>
      <c r="B38" s="521"/>
      <c r="C38" s="521"/>
      <c r="D38" s="521"/>
      <c r="E38" s="521"/>
      <c r="F38" s="521"/>
    </row>
    <row r="39" spans="1:6" s="74" customFormat="1" ht="12">
      <c r="A39" s="183"/>
      <c r="B39" s="183"/>
      <c r="C39" s="183"/>
      <c r="D39" s="183"/>
      <c r="E39" s="183"/>
      <c r="F39" s="183"/>
    </row>
    <row r="40" spans="1:6" ht="12.75">
      <c r="A40" s="520" t="s">
        <v>775</v>
      </c>
      <c r="B40" s="520"/>
      <c r="C40" s="520"/>
      <c r="D40" s="520"/>
      <c r="E40" s="520"/>
      <c r="F40" s="520"/>
    </row>
    <row r="41" spans="1:6" ht="15">
      <c r="A41" s="28"/>
      <c r="B41" s="31"/>
      <c r="C41" s="28"/>
      <c r="D41" s="31"/>
      <c r="E41" s="28"/>
      <c r="F41" s="28"/>
    </row>
    <row r="42" spans="1:6" ht="15">
      <c r="A42" s="28"/>
      <c r="B42" s="28" t="s">
        <v>737</v>
      </c>
      <c r="C42" s="28"/>
      <c r="D42" s="28"/>
      <c r="E42" s="28"/>
      <c r="F42" s="28"/>
    </row>
    <row r="43" spans="1:2" ht="12.75">
      <c r="A43">
        <v>1994</v>
      </c>
      <c r="B43" s="36">
        <v>1714</v>
      </c>
    </row>
    <row r="44" spans="1:2" ht="12.75">
      <c r="A44">
        <v>1995</v>
      </c>
      <c r="B44" s="36">
        <v>1865</v>
      </c>
    </row>
    <row r="45" spans="1:2" ht="12.75">
      <c r="A45">
        <v>1996</v>
      </c>
      <c r="B45" s="36">
        <v>1796</v>
      </c>
    </row>
    <row r="46" spans="1:2" ht="12.75">
      <c r="A46">
        <v>1997</v>
      </c>
      <c r="B46" s="36">
        <v>1788</v>
      </c>
    </row>
    <row r="47" spans="1:2" ht="12.75">
      <c r="A47">
        <v>1998</v>
      </c>
      <c r="B47" s="36">
        <v>1651</v>
      </c>
    </row>
    <row r="48" spans="1:2" ht="12.75">
      <c r="A48" s="57">
        <v>1999</v>
      </c>
      <c r="B48" s="36">
        <v>1689</v>
      </c>
    </row>
    <row r="49" spans="1:2" ht="12.75">
      <c r="A49" s="140">
        <v>2000</v>
      </c>
      <c r="B49" s="36">
        <v>1725</v>
      </c>
    </row>
    <row r="50" spans="1:2" ht="12.75">
      <c r="A50" s="80">
        <v>2001</v>
      </c>
      <c r="B50" s="36">
        <v>1718.968</v>
      </c>
    </row>
    <row r="51" spans="1:2" ht="12.75">
      <c r="A51" s="80">
        <v>2002</v>
      </c>
      <c r="B51" s="36">
        <f>+B36/1000</f>
        <v>1691.62</v>
      </c>
    </row>
  </sheetData>
  <mergeCells count="7">
    <mergeCell ref="A40:F40"/>
    <mergeCell ref="A38:F38"/>
    <mergeCell ref="A5:F5"/>
    <mergeCell ref="A7:F7"/>
    <mergeCell ref="A8:F8"/>
    <mergeCell ref="B11:F11"/>
    <mergeCell ref="A6:F6"/>
  </mergeCells>
  <printOptions horizontalCentered="1"/>
  <pageMargins left="0.75" right="0.75" top="1" bottom="1" header="0" footer="0"/>
  <pageSetup horizontalDpi="300" verticalDpi="300" orientation="portrait" scale="90" r:id="rId2"/>
  <headerFooter alignWithMargins="0">
    <oddFooter>&amp;C22</oddFooter>
  </headerFooter>
  <drawing r:id="rId1"/>
</worksheet>
</file>

<file path=xl/worksheets/sheet80.xml><?xml version="1.0" encoding="utf-8"?>
<worksheet xmlns="http://schemas.openxmlformats.org/spreadsheetml/2006/main" xmlns:r="http://schemas.openxmlformats.org/officeDocument/2006/relationships">
  <dimension ref="A1:F53"/>
  <sheetViews>
    <sheetView workbookViewId="0" topLeftCell="A1">
      <selection activeCell="A5" sqref="A5:F5"/>
    </sheetView>
  </sheetViews>
  <sheetFormatPr defaultColWidth="11.421875" defaultRowHeight="12.75"/>
  <cols>
    <col min="1" max="1" width="26.8515625" style="0" customWidth="1"/>
    <col min="2" max="2" width="8.7109375" style="0" customWidth="1"/>
    <col min="3" max="3" width="26.8515625" style="0" customWidth="1"/>
    <col min="4" max="4" width="8.7109375" style="0" customWidth="1"/>
    <col min="5" max="5" width="26.8515625" style="0" customWidth="1"/>
    <col min="6" max="6" width="8.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6" ht="18.75" thickBot="1">
      <c r="A5" s="579" t="s">
        <v>660</v>
      </c>
      <c r="B5" s="580"/>
      <c r="C5" s="580"/>
      <c r="D5" s="580"/>
      <c r="E5" s="580"/>
      <c r="F5" s="581"/>
    </row>
    <row r="6" spans="1:6" ht="15.75">
      <c r="A6" s="630" t="s">
        <v>30</v>
      </c>
      <c r="B6" s="630"/>
      <c r="C6" s="630"/>
      <c r="D6" s="630"/>
      <c r="E6" s="630"/>
      <c r="F6" s="630"/>
    </row>
    <row r="7" spans="1:6" ht="15.75">
      <c r="A7" s="631" t="s">
        <v>31</v>
      </c>
      <c r="B7" s="631"/>
      <c r="C7" s="631"/>
      <c r="D7" s="631"/>
      <c r="E7" s="631"/>
      <c r="F7" s="631"/>
    </row>
    <row r="8" spans="1:4" ht="12.75">
      <c r="A8" s="154"/>
      <c r="B8" s="34"/>
      <c r="C8" s="34"/>
      <c r="D8" s="34"/>
    </row>
    <row r="9" spans="1:4" ht="12.75">
      <c r="A9" s="154"/>
      <c r="B9" s="34"/>
      <c r="C9" s="34"/>
      <c r="D9" s="34"/>
    </row>
    <row r="10" spans="1:6" ht="14.25">
      <c r="A10" s="628" t="s">
        <v>666</v>
      </c>
      <c r="B10" s="629"/>
      <c r="C10" s="628" t="s">
        <v>667</v>
      </c>
      <c r="D10" s="629"/>
      <c r="E10" s="628" t="s">
        <v>668</v>
      </c>
      <c r="F10" s="629"/>
    </row>
    <row r="11" spans="1:6" ht="12.75">
      <c r="A11" s="343" t="s">
        <v>75</v>
      </c>
      <c r="B11" s="343" t="s">
        <v>665</v>
      </c>
      <c r="C11" s="343" t="s">
        <v>75</v>
      </c>
      <c r="D11" s="343" t="s">
        <v>665</v>
      </c>
      <c r="E11" s="343" t="s">
        <v>75</v>
      </c>
      <c r="F11" s="343" t="s">
        <v>665</v>
      </c>
    </row>
    <row r="12" spans="1:6" ht="12.75">
      <c r="A12" s="344" t="s">
        <v>32</v>
      </c>
      <c r="B12" s="345">
        <v>0.99</v>
      </c>
      <c r="C12" s="346" t="s">
        <v>33</v>
      </c>
      <c r="D12" s="347">
        <v>0.5389</v>
      </c>
      <c r="E12" s="344" t="s">
        <v>34</v>
      </c>
      <c r="F12" s="345">
        <v>0.88</v>
      </c>
    </row>
    <row r="13" spans="1:6" ht="12.75">
      <c r="A13" s="348" t="s">
        <v>35</v>
      </c>
      <c r="B13" s="345">
        <v>0.01</v>
      </c>
      <c r="C13" s="344" t="s">
        <v>36</v>
      </c>
      <c r="D13" s="347">
        <v>0.4611</v>
      </c>
      <c r="E13" s="349" t="s">
        <v>37</v>
      </c>
      <c r="F13" s="350">
        <v>0.04</v>
      </c>
    </row>
    <row r="14" spans="1:6" ht="12.75">
      <c r="A14" s="351"/>
      <c r="B14" s="345"/>
      <c r="C14" s="349"/>
      <c r="D14" s="350"/>
      <c r="E14" s="348" t="s">
        <v>38</v>
      </c>
      <c r="F14" s="345">
        <v>0.04</v>
      </c>
    </row>
    <row r="15" spans="1:6" ht="25.5">
      <c r="A15" s="351"/>
      <c r="B15" s="345"/>
      <c r="C15" s="344"/>
      <c r="D15" s="345"/>
      <c r="E15" s="352" t="s">
        <v>39</v>
      </c>
      <c r="F15" s="345">
        <v>0.04</v>
      </c>
    </row>
    <row r="16" spans="1:6" s="269" customFormat="1" ht="12.75">
      <c r="A16" s="353"/>
      <c r="B16" s="354">
        <f>SUM(B12:B15)</f>
        <v>1</v>
      </c>
      <c r="C16" s="355"/>
      <c r="D16" s="354">
        <f>SUM(D12:D15)</f>
        <v>1</v>
      </c>
      <c r="E16" s="356"/>
      <c r="F16" s="354">
        <f>SUM(F12:F15)</f>
        <v>1</v>
      </c>
    </row>
    <row r="17" spans="1:6" s="269" customFormat="1" ht="12.75">
      <c r="A17" s="357"/>
      <c r="B17" s="358"/>
      <c r="C17" s="359"/>
      <c r="D17" s="358"/>
      <c r="E17" s="360"/>
      <c r="F17" s="358"/>
    </row>
    <row r="18" spans="1:6" ht="12.75">
      <c r="A18" s="361"/>
      <c r="B18" s="362"/>
      <c r="C18" s="363"/>
      <c r="D18" s="116"/>
      <c r="E18" s="363"/>
      <c r="F18" s="116"/>
    </row>
    <row r="19" spans="1:6" ht="14.25">
      <c r="A19" s="628" t="s">
        <v>669</v>
      </c>
      <c r="B19" s="629"/>
      <c r="C19" s="628" t="s">
        <v>885</v>
      </c>
      <c r="D19" s="629"/>
      <c r="E19" s="628" t="s">
        <v>670</v>
      </c>
      <c r="F19" s="629"/>
    </row>
    <row r="20" spans="1:6" ht="12.75">
      <c r="A20" s="343" t="s">
        <v>75</v>
      </c>
      <c r="B20" s="343" t="s">
        <v>665</v>
      </c>
      <c r="C20" s="343" t="s">
        <v>75</v>
      </c>
      <c r="D20" s="343" t="s">
        <v>665</v>
      </c>
      <c r="E20" s="343" t="s">
        <v>75</v>
      </c>
      <c r="F20" s="364" t="s">
        <v>665</v>
      </c>
    </row>
    <row r="21" spans="1:6" ht="12.75">
      <c r="A21" s="344" t="s">
        <v>40</v>
      </c>
      <c r="B21" s="345">
        <v>0.4501692</v>
      </c>
      <c r="C21" s="344" t="s">
        <v>41</v>
      </c>
      <c r="D21" s="345">
        <v>0.95</v>
      </c>
      <c r="E21" s="344" t="s">
        <v>42</v>
      </c>
      <c r="F21" s="365">
        <v>0.9999815</v>
      </c>
    </row>
    <row r="22" spans="1:6" ht="12.75">
      <c r="A22" s="349" t="s">
        <v>43</v>
      </c>
      <c r="B22" s="347">
        <v>0.2497272</v>
      </c>
      <c r="C22" s="344" t="s">
        <v>44</v>
      </c>
      <c r="D22" s="345">
        <v>0.05</v>
      </c>
      <c r="E22" s="349" t="s">
        <v>45</v>
      </c>
      <c r="F22" s="365">
        <v>1.85E-05</v>
      </c>
    </row>
    <row r="23" spans="1:6" ht="12.75">
      <c r="A23" s="344" t="s">
        <v>46</v>
      </c>
      <c r="B23" s="347">
        <v>0.1699748</v>
      </c>
      <c r="C23" s="366"/>
      <c r="D23" s="345"/>
      <c r="E23" s="367"/>
      <c r="F23" s="368"/>
    </row>
    <row r="24" spans="1:6" ht="12.75">
      <c r="A24" s="344" t="s">
        <v>47</v>
      </c>
      <c r="B24" s="345">
        <v>0.0999852</v>
      </c>
      <c r="C24" s="366"/>
      <c r="D24" s="345"/>
      <c r="E24" s="348"/>
      <c r="F24" s="345"/>
    </row>
    <row r="25" spans="1:6" ht="12.75">
      <c r="A25" s="344" t="s">
        <v>48</v>
      </c>
      <c r="B25" s="345">
        <v>0.0299956</v>
      </c>
      <c r="C25" s="366"/>
      <c r="D25" s="345"/>
      <c r="E25" s="369"/>
      <c r="F25" s="370"/>
    </row>
    <row r="26" spans="1:6" ht="12.75">
      <c r="A26" s="344" t="s">
        <v>49</v>
      </c>
      <c r="B26" s="345">
        <v>0.000148</v>
      </c>
      <c r="C26" s="366"/>
      <c r="D26" s="345"/>
      <c r="E26" s="371"/>
      <c r="F26" s="371"/>
    </row>
    <row r="27" spans="1:6" s="269" customFormat="1" ht="12.75">
      <c r="A27" s="353"/>
      <c r="B27" s="354">
        <f>SUM(B21:B26)</f>
        <v>1</v>
      </c>
      <c r="C27" s="355"/>
      <c r="D27" s="354">
        <f>SUM(D21:D26)</f>
        <v>1</v>
      </c>
      <c r="E27" s="356"/>
      <c r="F27" s="354">
        <f>SUM(F21:F26)</f>
        <v>1</v>
      </c>
    </row>
    <row r="28" spans="1:6" s="269" customFormat="1" ht="12.75">
      <c r="A28" s="1"/>
      <c r="B28" s="372"/>
      <c r="C28" s="333"/>
      <c r="D28" s="372"/>
      <c r="E28" s="373"/>
      <c r="F28" s="372"/>
    </row>
    <row r="29" spans="1:6" ht="12.75">
      <c r="A29" s="34"/>
      <c r="B29" s="34"/>
      <c r="C29" s="34"/>
      <c r="D29" s="34"/>
      <c r="E29" s="34"/>
      <c r="F29" s="34"/>
    </row>
    <row r="30" spans="1:6" ht="14.25">
      <c r="A30" s="628" t="s">
        <v>865</v>
      </c>
      <c r="B30" s="629"/>
      <c r="C30" s="628" t="s">
        <v>671</v>
      </c>
      <c r="D30" s="629"/>
      <c r="E30" s="628" t="s">
        <v>672</v>
      </c>
      <c r="F30" s="629"/>
    </row>
    <row r="31" spans="1:6" ht="12.75">
      <c r="A31" s="343" t="s">
        <v>75</v>
      </c>
      <c r="B31" s="364" t="s">
        <v>665</v>
      </c>
      <c r="C31" s="343" t="s">
        <v>75</v>
      </c>
      <c r="D31" s="364" t="s">
        <v>665</v>
      </c>
      <c r="E31" s="343" t="s">
        <v>75</v>
      </c>
      <c r="F31" s="364" t="s">
        <v>665</v>
      </c>
    </row>
    <row r="32" spans="1:6" ht="25.5">
      <c r="A32" s="352" t="s">
        <v>50</v>
      </c>
      <c r="B32" s="374">
        <v>0.4</v>
      </c>
      <c r="C32" s="352" t="s">
        <v>51</v>
      </c>
      <c r="D32" s="374">
        <v>0.70164</v>
      </c>
      <c r="E32" s="352" t="s">
        <v>52</v>
      </c>
      <c r="F32" s="374">
        <v>0.4935898</v>
      </c>
    </row>
    <row r="33" spans="1:6" ht="25.5" customHeight="1">
      <c r="A33" s="352" t="s">
        <v>53</v>
      </c>
      <c r="B33" s="374">
        <v>0.272</v>
      </c>
      <c r="C33" s="352" t="s">
        <v>54</v>
      </c>
      <c r="D33" s="374">
        <v>0.29836</v>
      </c>
      <c r="E33" s="352" t="s">
        <v>55</v>
      </c>
      <c r="F33" s="374">
        <v>0.1355657</v>
      </c>
    </row>
    <row r="34" spans="1:6" ht="38.25">
      <c r="A34" s="352" t="s">
        <v>56</v>
      </c>
      <c r="B34" s="374">
        <v>0.2338</v>
      </c>
      <c r="C34" s="367"/>
      <c r="D34" s="368"/>
      <c r="E34" s="352" t="s">
        <v>57</v>
      </c>
      <c r="F34" s="374">
        <v>0.1355657</v>
      </c>
    </row>
    <row r="35" spans="1:6" ht="12.75">
      <c r="A35" s="348" t="s">
        <v>58</v>
      </c>
      <c r="B35" s="347">
        <v>0.0722</v>
      </c>
      <c r="C35" s="348"/>
      <c r="D35" s="345"/>
      <c r="E35" s="367" t="s">
        <v>59</v>
      </c>
      <c r="F35" s="347">
        <v>0.1223749</v>
      </c>
    </row>
    <row r="36" spans="1:6" ht="25.5">
      <c r="A36" s="352" t="s">
        <v>60</v>
      </c>
      <c r="B36" s="374">
        <v>0.0218</v>
      </c>
      <c r="C36" s="369"/>
      <c r="D36" s="370"/>
      <c r="E36" s="352" t="s">
        <v>61</v>
      </c>
      <c r="F36" s="374">
        <v>0.0597116</v>
      </c>
    </row>
    <row r="37" spans="1:6" ht="12.75">
      <c r="A37" s="348" t="s">
        <v>62</v>
      </c>
      <c r="B37" s="345">
        <v>0.0002</v>
      </c>
      <c r="C37" s="369"/>
      <c r="D37" s="370"/>
      <c r="E37" s="348" t="s">
        <v>63</v>
      </c>
      <c r="F37" s="347">
        <v>0.0434623</v>
      </c>
    </row>
    <row r="38" spans="1:6" ht="12.75">
      <c r="A38" s="348"/>
      <c r="B38" s="345"/>
      <c r="C38" s="369"/>
      <c r="D38" s="370"/>
      <c r="E38" s="348" t="s">
        <v>733</v>
      </c>
      <c r="F38" s="347">
        <v>0.0097</v>
      </c>
    </row>
    <row r="39" spans="1:6" s="269" customFormat="1" ht="12.75">
      <c r="A39" s="353"/>
      <c r="B39" s="354">
        <f>SUM(B32:B37)</f>
        <v>1.0000000000000002</v>
      </c>
      <c r="C39" s="355"/>
      <c r="D39" s="354">
        <f>SUM(D32:D37)</f>
        <v>1</v>
      </c>
      <c r="E39" s="356"/>
      <c r="F39" s="354">
        <f>SUM(F32:F38)</f>
        <v>0.9999699999999999</v>
      </c>
    </row>
    <row r="40" spans="1:6" s="269" customFormat="1" ht="12.75">
      <c r="A40" s="1"/>
      <c r="B40" s="372"/>
      <c r="C40" s="333"/>
      <c r="D40" s="372"/>
      <c r="E40" s="373"/>
      <c r="F40" s="372"/>
    </row>
    <row r="41" spans="1:6" ht="12.75">
      <c r="A41" s="34"/>
      <c r="B41" s="34"/>
      <c r="C41" s="34"/>
      <c r="D41" s="98"/>
      <c r="E41" s="34"/>
      <c r="F41" s="98"/>
    </row>
    <row r="42" spans="1:6" ht="14.25">
      <c r="A42" s="628" t="s">
        <v>818</v>
      </c>
      <c r="B42" s="629"/>
      <c r="C42" s="628" t="s">
        <v>989</v>
      </c>
      <c r="D42" s="629"/>
      <c r="E42" s="628" t="s">
        <v>673</v>
      </c>
      <c r="F42" s="629"/>
    </row>
    <row r="43" spans="1:6" ht="12.75">
      <c r="A43" s="343" t="s">
        <v>75</v>
      </c>
      <c r="B43" s="364" t="s">
        <v>665</v>
      </c>
      <c r="C43" s="343" t="s">
        <v>75</v>
      </c>
      <c r="D43" s="364" t="s">
        <v>665</v>
      </c>
      <c r="E43" s="343" t="s">
        <v>75</v>
      </c>
      <c r="F43" s="364" t="s">
        <v>665</v>
      </c>
    </row>
    <row r="44" spans="1:6" ht="12.75">
      <c r="A44" s="344" t="s">
        <v>64</v>
      </c>
      <c r="B44" s="345">
        <v>0.9999</v>
      </c>
      <c r="C44" s="344" t="s">
        <v>65</v>
      </c>
      <c r="D44" s="345">
        <v>0.996191</v>
      </c>
      <c r="E44" s="366" t="s">
        <v>66</v>
      </c>
      <c r="F44" s="345">
        <v>0.78</v>
      </c>
    </row>
    <row r="45" spans="1:6" ht="25.5">
      <c r="A45" s="352" t="s">
        <v>67</v>
      </c>
      <c r="B45" s="374">
        <v>0.0001</v>
      </c>
      <c r="C45" s="348" t="s">
        <v>68</v>
      </c>
      <c r="D45" s="345">
        <v>0.003809</v>
      </c>
      <c r="E45" s="366" t="s">
        <v>69</v>
      </c>
      <c r="F45" s="345">
        <v>0.08</v>
      </c>
    </row>
    <row r="46" spans="1:6" ht="12.75">
      <c r="A46" s="344"/>
      <c r="B46" s="347"/>
      <c r="C46" s="348"/>
      <c r="D46" s="345"/>
      <c r="E46" s="366" t="s">
        <v>70</v>
      </c>
      <c r="F46" s="345">
        <v>0.05</v>
      </c>
    </row>
    <row r="47" spans="1:6" ht="12.75">
      <c r="A47" s="348"/>
      <c r="B47" s="345"/>
      <c r="C47" s="371"/>
      <c r="D47" s="375"/>
      <c r="E47" s="366" t="s">
        <v>71</v>
      </c>
      <c r="F47" s="345">
        <v>0.03</v>
      </c>
    </row>
    <row r="48" spans="1:6" ht="25.5">
      <c r="A48" s="369"/>
      <c r="B48" s="370"/>
      <c r="C48" s="369"/>
      <c r="D48" s="370"/>
      <c r="E48" s="352" t="s">
        <v>72</v>
      </c>
      <c r="F48" s="374">
        <v>0.02</v>
      </c>
    </row>
    <row r="49" spans="1:6" ht="12.75">
      <c r="A49" s="344"/>
      <c r="B49" s="347"/>
      <c r="C49" s="344"/>
      <c r="D49" s="345"/>
      <c r="E49" s="366" t="s">
        <v>73</v>
      </c>
      <c r="F49" s="345">
        <v>0.02</v>
      </c>
    </row>
    <row r="50" spans="1:6" ht="12.75">
      <c r="A50" s="371"/>
      <c r="B50" s="371"/>
      <c r="C50" s="371"/>
      <c r="D50" s="371"/>
      <c r="E50" s="366" t="s">
        <v>74</v>
      </c>
      <c r="F50" s="345">
        <v>0.02</v>
      </c>
    </row>
    <row r="51" spans="1:6" s="269" customFormat="1" ht="12.75">
      <c r="A51" s="353"/>
      <c r="B51" s="354">
        <f>SUM(B44:B50)</f>
        <v>1</v>
      </c>
      <c r="C51" s="355"/>
      <c r="D51" s="354">
        <f>SUM(D44:D50)</f>
        <v>1</v>
      </c>
      <c r="E51" s="356"/>
      <c r="F51" s="354">
        <f>SUM(F44:F50)</f>
        <v>1</v>
      </c>
    </row>
    <row r="52" spans="5:6" ht="12.75">
      <c r="E52" s="272"/>
      <c r="F52" s="102"/>
    </row>
    <row r="53" ht="12.75">
      <c r="A53" s="148" t="s">
        <v>4</v>
      </c>
    </row>
  </sheetData>
  <mergeCells count="15">
    <mergeCell ref="A5:F5"/>
    <mergeCell ref="A6:F6"/>
    <mergeCell ref="A7:F7"/>
    <mergeCell ref="A10:B10"/>
    <mergeCell ref="C10:D10"/>
    <mergeCell ref="E10:F10"/>
    <mergeCell ref="A42:B42"/>
    <mergeCell ref="C42:D42"/>
    <mergeCell ref="E42:F42"/>
    <mergeCell ref="C19:D19"/>
    <mergeCell ref="E19:F19"/>
    <mergeCell ref="A30:B30"/>
    <mergeCell ref="C30:D30"/>
    <mergeCell ref="E30:F30"/>
    <mergeCell ref="A19:B19"/>
  </mergeCells>
  <printOptions horizontalCentered="1"/>
  <pageMargins left="0.75" right="0.75" top="1" bottom="1" header="0" footer="0"/>
  <pageSetup horizontalDpi="300" verticalDpi="300" orientation="portrait" scale="90" r:id="rId1"/>
  <headerFooter alignWithMargins="0">
    <oddFooter>&amp;C101</oddFooter>
  </headerFooter>
</worksheet>
</file>

<file path=xl/worksheets/sheet81.xml><?xml version="1.0" encoding="utf-8"?>
<worksheet xmlns="http://schemas.openxmlformats.org/spreadsheetml/2006/main" xmlns:r="http://schemas.openxmlformats.org/officeDocument/2006/relationships">
  <dimension ref="A1:D22"/>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677</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2.75">
      <c r="A9" s="154"/>
      <c r="B9" s="34"/>
      <c r="C9" s="34"/>
      <c r="D9" s="34"/>
    </row>
    <row r="10" spans="1:4" ht="14.25">
      <c r="A10" s="628" t="s">
        <v>678</v>
      </c>
      <c r="B10" s="629"/>
      <c r="C10" s="628" t="s">
        <v>679</v>
      </c>
      <c r="D10" s="629"/>
    </row>
    <row r="11" spans="1:4" ht="12.75">
      <c r="A11" s="343" t="s">
        <v>75</v>
      </c>
      <c r="B11" s="343" t="s">
        <v>665</v>
      </c>
      <c r="C11" s="343" t="s">
        <v>75</v>
      </c>
      <c r="D11" s="343" t="s">
        <v>665</v>
      </c>
    </row>
    <row r="12" spans="1:4" ht="12.75">
      <c r="A12" s="344" t="s">
        <v>76</v>
      </c>
      <c r="B12" s="376">
        <v>0.7158</v>
      </c>
      <c r="C12" s="346" t="s">
        <v>77</v>
      </c>
      <c r="D12" s="347">
        <v>0.75</v>
      </c>
    </row>
    <row r="13" spans="1:4" ht="12.75">
      <c r="A13" s="377" t="s">
        <v>78</v>
      </c>
      <c r="B13" s="376">
        <v>0.13</v>
      </c>
      <c r="C13" s="344" t="s">
        <v>79</v>
      </c>
      <c r="D13" s="347">
        <v>0.06</v>
      </c>
    </row>
    <row r="14" spans="1:4" ht="12.75">
      <c r="A14" s="378" t="s">
        <v>80</v>
      </c>
      <c r="B14" s="376">
        <v>0.0842</v>
      </c>
      <c r="C14" s="344" t="s">
        <v>81</v>
      </c>
      <c r="D14" s="347">
        <v>0.05</v>
      </c>
    </row>
    <row r="15" spans="1:4" ht="12.75">
      <c r="A15" s="377" t="s">
        <v>82</v>
      </c>
      <c r="B15" s="376">
        <v>0.035</v>
      </c>
      <c r="C15" s="349" t="s">
        <v>83</v>
      </c>
      <c r="D15" s="347">
        <v>0.04</v>
      </c>
    </row>
    <row r="16" spans="1:4" ht="12.75">
      <c r="A16" s="379" t="s">
        <v>84</v>
      </c>
      <c r="B16" s="380">
        <v>0.035</v>
      </c>
      <c r="C16" s="344" t="s">
        <v>85</v>
      </c>
      <c r="D16" s="347">
        <v>0.04</v>
      </c>
    </row>
    <row r="17" spans="1:4" ht="12.75">
      <c r="A17" s="377"/>
      <c r="B17" s="376"/>
      <c r="C17" s="349" t="s">
        <v>86</v>
      </c>
      <c r="D17" s="347">
        <v>0.03</v>
      </c>
    </row>
    <row r="18" spans="1:4" ht="12.75">
      <c r="A18" s="377"/>
      <c r="B18" s="381"/>
      <c r="C18" s="344" t="s">
        <v>87</v>
      </c>
      <c r="D18" s="347">
        <v>0.03</v>
      </c>
    </row>
    <row r="19" spans="1:4" s="269" customFormat="1" ht="12.75">
      <c r="A19" s="382"/>
      <c r="B19" s="383">
        <f>SUM(B12:B18)</f>
        <v>1</v>
      </c>
      <c r="C19" s="355"/>
      <c r="D19" s="383">
        <f>SUM(D12:D18)</f>
        <v>1.0000000000000002</v>
      </c>
    </row>
    <row r="20" spans="1:4" ht="12.75">
      <c r="A20" s="34"/>
      <c r="B20" s="34"/>
      <c r="C20" s="34"/>
      <c r="D20" s="98"/>
    </row>
    <row r="21" spans="1:4" ht="12.75">
      <c r="A21" s="148" t="s">
        <v>88</v>
      </c>
      <c r="D21" s="127"/>
    </row>
    <row r="22" ht="12.75">
      <c r="A22" s="34"/>
    </row>
  </sheetData>
  <mergeCells count="5">
    <mergeCell ref="A10:B10"/>
    <mergeCell ref="C10:D10"/>
    <mergeCell ref="A5:D5"/>
    <mergeCell ref="A6:D6"/>
    <mergeCell ref="A7:D7"/>
  </mergeCells>
  <printOptions horizontalCentered="1"/>
  <pageMargins left="0.75" right="0.75" top="1" bottom="1" header="0" footer="0"/>
  <pageSetup horizontalDpi="300" verticalDpi="300" orientation="portrait" scale="90" r:id="rId1"/>
  <headerFooter alignWithMargins="0">
    <oddFooter>&amp;C102</oddFooter>
  </headerFooter>
</worksheet>
</file>

<file path=xl/worksheets/sheet82.xml><?xml version="1.0" encoding="utf-8"?>
<worksheet xmlns="http://schemas.openxmlformats.org/spreadsheetml/2006/main" xmlns:r="http://schemas.openxmlformats.org/officeDocument/2006/relationships">
  <dimension ref="A1:D43"/>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831</v>
      </c>
      <c r="B5" s="580"/>
      <c r="C5" s="580"/>
      <c r="D5" s="581"/>
    </row>
    <row r="6" spans="1:4" ht="15.75">
      <c r="A6" s="632" t="s">
        <v>115</v>
      </c>
      <c r="B6" s="632"/>
      <c r="C6" s="632"/>
      <c r="D6" s="632"/>
    </row>
    <row r="7" spans="1:4" ht="15.75">
      <c r="A7" s="633" t="s">
        <v>116</v>
      </c>
      <c r="B7" s="633"/>
      <c r="C7" s="633"/>
      <c r="D7" s="633"/>
    </row>
    <row r="8" spans="1:4" ht="12.75">
      <c r="A8" s="154"/>
      <c r="B8" s="34"/>
      <c r="C8" s="34"/>
      <c r="D8" s="34"/>
    </row>
    <row r="9" spans="1:4" ht="14.25">
      <c r="A9" s="628" t="s">
        <v>89</v>
      </c>
      <c r="B9" s="629"/>
      <c r="C9" s="628" t="s">
        <v>833</v>
      </c>
      <c r="D9" s="629"/>
    </row>
    <row r="10" spans="1:4" ht="12.75">
      <c r="A10" s="343" t="s">
        <v>75</v>
      </c>
      <c r="B10" s="343" t="s">
        <v>665</v>
      </c>
      <c r="C10" s="343" t="s">
        <v>75</v>
      </c>
      <c r="D10" s="364" t="s">
        <v>665</v>
      </c>
    </row>
    <row r="11" spans="1:4" ht="12.75">
      <c r="A11" s="344" t="s">
        <v>90</v>
      </c>
      <c r="B11" s="345">
        <v>0.8533</v>
      </c>
      <c r="C11" s="346" t="s">
        <v>91</v>
      </c>
      <c r="D11" s="350">
        <v>0.162</v>
      </c>
    </row>
    <row r="12" spans="1:4" ht="27" customHeight="1">
      <c r="A12" s="384" t="s">
        <v>92</v>
      </c>
      <c r="B12" s="374">
        <v>0.1317</v>
      </c>
      <c r="C12" s="384" t="s">
        <v>93</v>
      </c>
      <c r="D12" s="374">
        <v>0.409</v>
      </c>
    </row>
    <row r="13" spans="1:4" ht="12.75" customHeight="1">
      <c r="A13" s="344" t="s">
        <v>94</v>
      </c>
      <c r="B13" s="345">
        <v>0.015</v>
      </c>
      <c r="C13" s="349" t="s">
        <v>95</v>
      </c>
      <c r="D13" s="350">
        <v>0.2</v>
      </c>
    </row>
    <row r="14" spans="1:4" ht="12.75" customHeight="1">
      <c r="A14" s="385"/>
      <c r="B14" s="386"/>
      <c r="C14" s="344" t="s">
        <v>96</v>
      </c>
      <c r="D14" s="345">
        <v>0.15</v>
      </c>
    </row>
    <row r="15" spans="1:4" ht="12.75" customHeight="1">
      <c r="A15" s="385"/>
      <c r="B15" s="386"/>
      <c r="C15" s="344" t="s">
        <v>97</v>
      </c>
      <c r="D15" s="387">
        <v>0.06</v>
      </c>
    </row>
    <row r="16" spans="1:4" ht="12.75" customHeight="1">
      <c r="A16" s="385"/>
      <c r="B16" s="386"/>
      <c r="C16" s="349" t="s">
        <v>98</v>
      </c>
      <c r="D16" s="345">
        <v>0.017</v>
      </c>
    </row>
    <row r="17" spans="1:4" ht="12.75" customHeight="1">
      <c r="A17" s="385"/>
      <c r="B17" s="386"/>
      <c r="C17" s="344" t="s">
        <v>99</v>
      </c>
      <c r="D17" s="345">
        <v>0.002</v>
      </c>
    </row>
    <row r="18" spans="1:4" s="269" customFormat="1" ht="12.75" customHeight="1">
      <c r="A18" s="388"/>
      <c r="B18" s="389">
        <f>SUM(B11:B17)</f>
        <v>1</v>
      </c>
      <c r="C18" s="355"/>
      <c r="D18" s="354">
        <f>SUM(D11:D17)</f>
        <v>0.9999999999999999</v>
      </c>
    </row>
    <row r="19" spans="1:4" s="269" customFormat="1" ht="12.75" customHeight="1">
      <c r="A19" s="390"/>
      <c r="B19" s="391"/>
      <c r="C19" s="333"/>
      <c r="D19" s="372"/>
    </row>
    <row r="20" spans="1:4" ht="12.75">
      <c r="A20" s="3"/>
      <c r="B20" s="392"/>
      <c r="C20" s="34"/>
      <c r="D20" s="393"/>
    </row>
    <row r="21" spans="1:4" ht="30" customHeight="1">
      <c r="A21" s="634" t="s">
        <v>100</v>
      </c>
      <c r="B21" s="635"/>
      <c r="C21" s="634" t="s">
        <v>101</v>
      </c>
      <c r="D21" s="635"/>
    </row>
    <row r="22" spans="1:4" ht="12.75">
      <c r="A22" s="343" t="s">
        <v>75</v>
      </c>
      <c r="B22" s="364" t="s">
        <v>665</v>
      </c>
      <c r="C22" s="343" t="s">
        <v>75</v>
      </c>
      <c r="D22" s="364" t="s">
        <v>665</v>
      </c>
    </row>
    <row r="23" spans="1:4" ht="12.75">
      <c r="A23" s="344" t="s">
        <v>90</v>
      </c>
      <c r="B23" s="347">
        <v>0.67</v>
      </c>
      <c r="C23" s="344" t="s">
        <v>102</v>
      </c>
      <c r="D23" s="345">
        <v>0.362</v>
      </c>
    </row>
    <row r="24" spans="1:4" ht="12.75">
      <c r="A24" s="344" t="s">
        <v>103</v>
      </c>
      <c r="B24" s="347">
        <v>0.27</v>
      </c>
      <c r="C24" s="349" t="s">
        <v>104</v>
      </c>
      <c r="D24" s="350">
        <v>0.593</v>
      </c>
    </row>
    <row r="25" spans="1:4" ht="12.75">
      <c r="A25" s="349" t="s">
        <v>105</v>
      </c>
      <c r="B25" s="347">
        <v>0.06</v>
      </c>
      <c r="C25" s="348" t="s">
        <v>106</v>
      </c>
      <c r="D25" s="345">
        <v>0.045</v>
      </c>
    </row>
    <row r="26" spans="1:4" s="269" customFormat="1" ht="12.75" customHeight="1">
      <c r="A26" s="388"/>
      <c r="B26" s="389">
        <f>SUM(B23:B25)</f>
        <v>1</v>
      </c>
      <c r="C26" s="355"/>
      <c r="D26" s="354">
        <f>SUM(D23:D25)</f>
        <v>1</v>
      </c>
    </row>
    <row r="27" spans="1:4" s="269" customFormat="1" ht="12.75" customHeight="1">
      <c r="A27" s="390"/>
      <c r="B27" s="391"/>
      <c r="C27" s="333"/>
      <c r="D27" s="372"/>
    </row>
    <row r="28" spans="1:4" ht="12.75">
      <c r="A28" s="34"/>
      <c r="B28" s="98"/>
      <c r="C28" s="34"/>
      <c r="D28" s="34"/>
    </row>
    <row r="29" spans="1:4" ht="30" customHeight="1">
      <c r="A29" s="634" t="s">
        <v>910</v>
      </c>
      <c r="B29" s="635"/>
      <c r="C29" s="634" t="s">
        <v>835</v>
      </c>
      <c r="D29" s="635"/>
    </row>
    <row r="30" spans="1:4" ht="12.75">
      <c r="A30" s="343" t="s">
        <v>75</v>
      </c>
      <c r="B30" s="364" t="s">
        <v>665</v>
      </c>
      <c r="C30" s="343" t="s">
        <v>75</v>
      </c>
      <c r="D30" s="364" t="s">
        <v>665</v>
      </c>
    </row>
    <row r="31" spans="1:4" ht="12.75">
      <c r="A31" s="394" t="s">
        <v>107</v>
      </c>
      <c r="B31" s="345">
        <v>0.654</v>
      </c>
      <c r="C31" s="394" t="s">
        <v>108</v>
      </c>
      <c r="D31" s="345">
        <v>0.89</v>
      </c>
    </row>
    <row r="32" spans="1:4" ht="12.75">
      <c r="A32" s="394" t="s">
        <v>109</v>
      </c>
      <c r="B32" s="345">
        <v>0.34</v>
      </c>
      <c r="C32" s="394" t="s">
        <v>110</v>
      </c>
      <c r="D32" s="345">
        <v>0.11</v>
      </c>
    </row>
    <row r="33" spans="1:4" ht="12.75">
      <c r="A33" s="394" t="s">
        <v>105</v>
      </c>
      <c r="B33" s="345">
        <v>0.006</v>
      </c>
      <c r="C33" s="394"/>
      <c r="D33" s="345"/>
    </row>
    <row r="34" spans="1:4" s="269" customFormat="1" ht="12.75" customHeight="1">
      <c r="A34" s="388"/>
      <c r="B34" s="389">
        <f>SUM(B31:B33)</f>
        <v>1</v>
      </c>
      <c r="C34" s="355"/>
      <c r="D34" s="354">
        <f>SUM(D31:D33)</f>
        <v>1</v>
      </c>
    </row>
    <row r="35" spans="1:4" s="269" customFormat="1" ht="12.75" customHeight="1">
      <c r="A35" s="390"/>
      <c r="B35" s="391"/>
      <c r="C35" s="333"/>
      <c r="D35" s="372"/>
    </row>
    <row r="36" spans="1:4" ht="12.75">
      <c r="A36" s="395"/>
      <c r="B36" s="102"/>
      <c r="C36" s="395"/>
      <c r="D36" s="102"/>
    </row>
    <row r="37" spans="1:4" ht="14.25" customHeight="1">
      <c r="A37" s="628" t="s">
        <v>836</v>
      </c>
      <c r="B37" s="629"/>
      <c r="C37" s="634" t="s">
        <v>837</v>
      </c>
      <c r="D37" s="635"/>
    </row>
    <row r="38" spans="1:4" ht="12.75">
      <c r="A38" s="343" t="s">
        <v>75</v>
      </c>
      <c r="B38" s="364" t="s">
        <v>665</v>
      </c>
      <c r="C38" s="343" t="s">
        <v>75</v>
      </c>
      <c r="D38" s="364" t="s">
        <v>665</v>
      </c>
    </row>
    <row r="39" spans="1:4" ht="12.75">
      <c r="A39" s="344" t="s">
        <v>111</v>
      </c>
      <c r="B39" s="345">
        <v>0.9875</v>
      </c>
      <c r="C39" s="344" t="s">
        <v>112</v>
      </c>
      <c r="D39" s="345">
        <v>0.5</v>
      </c>
    </row>
    <row r="40" spans="1:4" ht="12.75">
      <c r="A40" s="348" t="s">
        <v>105</v>
      </c>
      <c r="B40" s="347">
        <v>0.0125</v>
      </c>
      <c r="C40" s="348" t="s">
        <v>113</v>
      </c>
      <c r="D40" s="347">
        <v>0.5</v>
      </c>
    </row>
    <row r="41" spans="1:4" s="269" customFormat="1" ht="12.75" customHeight="1">
      <c r="A41" s="388"/>
      <c r="B41" s="389">
        <f>SUM(B39:B40)</f>
        <v>1</v>
      </c>
      <c r="C41" s="355"/>
      <c r="D41" s="354">
        <f>SUM(D39:D40)</f>
        <v>1</v>
      </c>
    </row>
    <row r="42" spans="1:4" ht="12.75">
      <c r="A42" s="395"/>
      <c r="B42" s="102"/>
      <c r="C42" s="395"/>
      <c r="D42" s="102"/>
    </row>
    <row r="43" ht="12.75">
      <c r="A43" s="69" t="s">
        <v>114</v>
      </c>
    </row>
  </sheetData>
  <mergeCells count="11">
    <mergeCell ref="A5:D5"/>
    <mergeCell ref="A6:D6"/>
    <mergeCell ref="A7:D7"/>
    <mergeCell ref="A9:B9"/>
    <mergeCell ref="C9:D9"/>
    <mergeCell ref="A37:B37"/>
    <mergeCell ref="C37:D37"/>
    <mergeCell ref="A21:B21"/>
    <mergeCell ref="C21:D21"/>
    <mergeCell ref="A29:B29"/>
    <mergeCell ref="C29:D29"/>
  </mergeCells>
  <printOptions horizontalCentered="1"/>
  <pageMargins left="0.75" right="0.75" top="1" bottom="1" header="0" footer="0"/>
  <pageSetup horizontalDpi="300" verticalDpi="300" orientation="portrait" scale="90" r:id="rId1"/>
  <headerFooter alignWithMargins="0">
    <oddFooter>&amp;C103</oddFooter>
  </headerFooter>
</worksheet>
</file>

<file path=xl/worksheets/sheet83.xml><?xml version="1.0" encoding="utf-8"?>
<worksheet xmlns="http://schemas.openxmlformats.org/spreadsheetml/2006/main" xmlns:r="http://schemas.openxmlformats.org/officeDocument/2006/relationships">
  <dimension ref="A1:D41"/>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685</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687</v>
      </c>
      <c r="B9" s="629"/>
      <c r="C9" s="628" t="s">
        <v>688</v>
      </c>
      <c r="D9" s="629"/>
    </row>
    <row r="10" spans="1:4" ht="12.75">
      <c r="A10" s="343" t="s">
        <v>75</v>
      </c>
      <c r="B10" s="343" t="s">
        <v>665</v>
      </c>
      <c r="C10" s="343" t="s">
        <v>75</v>
      </c>
      <c r="D10" s="364" t="s">
        <v>665</v>
      </c>
    </row>
    <row r="11" spans="1:4" ht="12.75">
      <c r="A11" s="385" t="s">
        <v>117</v>
      </c>
      <c r="B11" s="386">
        <v>0.8</v>
      </c>
      <c r="C11" s="344" t="s">
        <v>118</v>
      </c>
      <c r="D11" s="345">
        <v>0.8027</v>
      </c>
    </row>
    <row r="12" spans="1:4" ht="12.75" customHeight="1">
      <c r="A12" s="385" t="s">
        <v>119</v>
      </c>
      <c r="B12" s="386">
        <v>0.2</v>
      </c>
      <c r="C12" s="348" t="s">
        <v>120</v>
      </c>
      <c r="D12" s="347">
        <v>0.1973</v>
      </c>
    </row>
    <row r="13" spans="1:4" s="269" customFormat="1" ht="12.75" customHeight="1">
      <c r="A13" s="388"/>
      <c r="B13" s="389">
        <f>SUM(B11:B12)</f>
        <v>1</v>
      </c>
      <c r="C13" s="396"/>
      <c r="D13" s="397">
        <f>SUM(D11:D12)</f>
        <v>1</v>
      </c>
    </row>
    <row r="14" spans="1:4" s="269" customFormat="1" ht="12.75" customHeight="1">
      <c r="A14" s="390"/>
      <c r="B14" s="391"/>
      <c r="C14" s="333"/>
      <c r="D14" s="398"/>
    </row>
    <row r="15" spans="1:4" ht="12.75">
      <c r="A15" s="3"/>
      <c r="B15" s="392"/>
      <c r="C15" s="34"/>
      <c r="D15" s="393"/>
    </row>
    <row r="16" spans="1:4" ht="14.25">
      <c r="A16" s="628" t="s">
        <v>689</v>
      </c>
      <c r="B16" s="629"/>
      <c r="C16" s="628" t="s">
        <v>690</v>
      </c>
      <c r="D16" s="629"/>
    </row>
    <row r="17" spans="1:4" ht="12.75">
      <c r="A17" s="343" t="s">
        <v>75</v>
      </c>
      <c r="B17" s="364" t="s">
        <v>665</v>
      </c>
      <c r="C17" s="343" t="s">
        <v>75</v>
      </c>
      <c r="D17" s="364" t="s">
        <v>665</v>
      </c>
    </row>
    <row r="18" spans="1:4" ht="12.75">
      <c r="A18" s="367" t="s">
        <v>121</v>
      </c>
      <c r="B18" s="347">
        <v>0.2632135</v>
      </c>
      <c r="C18" s="379" t="s">
        <v>122</v>
      </c>
      <c r="D18" s="370">
        <v>0.3134</v>
      </c>
    </row>
    <row r="19" spans="1:4" ht="25.5">
      <c r="A19" s="379" t="s">
        <v>123</v>
      </c>
      <c r="B19" s="374">
        <v>0.2000096</v>
      </c>
      <c r="C19" s="379" t="s">
        <v>124</v>
      </c>
      <c r="D19" s="374">
        <v>0.2203</v>
      </c>
    </row>
    <row r="20" spans="1:4" ht="12.75">
      <c r="A20" s="348" t="s">
        <v>125</v>
      </c>
      <c r="B20" s="347">
        <v>0.2000019</v>
      </c>
      <c r="C20" s="379" t="s">
        <v>126</v>
      </c>
      <c r="D20" s="370">
        <v>0.1682</v>
      </c>
    </row>
    <row r="21" spans="1:4" ht="12.75" customHeight="1">
      <c r="A21" s="348" t="s">
        <v>127</v>
      </c>
      <c r="B21" s="387">
        <v>0.1881538</v>
      </c>
      <c r="C21" s="379" t="s">
        <v>128</v>
      </c>
      <c r="D21" s="370">
        <v>0.1602</v>
      </c>
    </row>
    <row r="22" spans="1:4" ht="12.75">
      <c r="A22" s="344" t="s">
        <v>129</v>
      </c>
      <c r="B22" s="345">
        <v>0.0867679</v>
      </c>
      <c r="C22" s="379" t="s">
        <v>130</v>
      </c>
      <c r="D22" s="370">
        <v>0.0742</v>
      </c>
    </row>
    <row r="23" spans="1:4" ht="12.75">
      <c r="A23" s="349" t="s">
        <v>131</v>
      </c>
      <c r="B23" s="345">
        <v>0.0618453</v>
      </c>
      <c r="C23" s="379" t="s">
        <v>132</v>
      </c>
      <c r="D23" s="370">
        <v>0.0635</v>
      </c>
    </row>
    <row r="24" spans="1:4" ht="12.75">
      <c r="A24" s="349"/>
      <c r="B24" s="345"/>
      <c r="C24" s="378" t="s">
        <v>733</v>
      </c>
      <c r="D24" s="370">
        <v>0.0002</v>
      </c>
    </row>
    <row r="25" spans="1:4" s="269" customFormat="1" ht="12.75" customHeight="1">
      <c r="A25" s="388"/>
      <c r="B25" s="389">
        <f>SUM(B18:B23)</f>
        <v>0.999992</v>
      </c>
      <c r="C25" s="396"/>
      <c r="D25" s="397">
        <f>SUM(D18:D24)</f>
        <v>1.0000000000000002</v>
      </c>
    </row>
    <row r="26" spans="1:4" s="269" customFormat="1" ht="12.75" customHeight="1">
      <c r="A26" s="390"/>
      <c r="B26" s="391"/>
      <c r="C26" s="333"/>
      <c r="D26" s="398"/>
    </row>
    <row r="27" spans="1:4" ht="12.75">
      <c r="A27" s="34"/>
      <c r="B27" s="34"/>
      <c r="C27" s="34"/>
      <c r="D27" s="34"/>
    </row>
    <row r="28" spans="1:4" ht="14.25">
      <c r="A28" s="628" t="s">
        <v>703</v>
      </c>
      <c r="B28" s="629"/>
      <c r="C28" s="628" t="s">
        <v>873</v>
      </c>
      <c r="D28" s="629"/>
    </row>
    <row r="29" spans="1:4" ht="12.75">
      <c r="A29" s="343" t="s">
        <v>75</v>
      </c>
      <c r="B29" s="364" t="s">
        <v>665</v>
      </c>
      <c r="C29" s="343" t="s">
        <v>75</v>
      </c>
      <c r="D29" s="364" t="s">
        <v>665</v>
      </c>
    </row>
    <row r="30" spans="1:4" ht="12.75">
      <c r="A30" s="399" t="s">
        <v>133</v>
      </c>
      <c r="B30" s="400">
        <v>0.545642</v>
      </c>
      <c r="C30" s="344" t="s">
        <v>134</v>
      </c>
      <c r="D30" s="345">
        <v>0.4294</v>
      </c>
    </row>
    <row r="31" spans="1:4" ht="25.5">
      <c r="A31" s="379" t="s">
        <v>135</v>
      </c>
      <c r="B31" s="374">
        <v>0.398554</v>
      </c>
      <c r="C31" s="379" t="s">
        <v>136</v>
      </c>
      <c r="D31" s="374">
        <v>0.3055</v>
      </c>
    </row>
    <row r="32" spans="1:4" ht="12.75">
      <c r="A32" s="399" t="s">
        <v>137</v>
      </c>
      <c r="B32" s="400">
        <v>0.029545</v>
      </c>
      <c r="C32" s="344" t="s">
        <v>138</v>
      </c>
      <c r="D32" s="345">
        <v>0.1144</v>
      </c>
    </row>
    <row r="33" spans="1:4" ht="12.75">
      <c r="A33" s="399" t="s">
        <v>139</v>
      </c>
      <c r="B33" s="400">
        <v>0.020977</v>
      </c>
      <c r="C33" s="369" t="s">
        <v>140</v>
      </c>
      <c r="D33" s="345">
        <v>0.0324</v>
      </c>
    </row>
    <row r="34" spans="1:4" ht="12.75">
      <c r="A34" s="399" t="s">
        <v>141</v>
      </c>
      <c r="B34" s="400">
        <v>0.005283</v>
      </c>
      <c r="C34" s="34" t="s">
        <v>142</v>
      </c>
      <c r="D34" s="345">
        <v>0.0324</v>
      </c>
    </row>
    <row r="35" spans="1:4" ht="12.75">
      <c r="A35" s="344"/>
      <c r="B35" s="401"/>
      <c r="C35" s="367" t="s">
        <v>143</v>
      </c>
      <c r="D35" s="345">
        <v>0.0324</v>
      </c>
    </row>
    <row r="36" spans="1:4" ht="12.75">
      <c r="A36" s="344"/>
      <c r="B36" s="401"/>
      <c r="C36" s="348" t="s">
        <v>144</v>
      </c>
      <c r="D36" s="345">
        <v>0.02669</v>
      </c>
    </row>
    <row r="37" spans="1:4" ht="12.75">
      <c r="A37" s="348"/>
      <c r="B37" s="347"/>
      <c r="C37" s="369" t="s">
        <v>145</v>
      </c>
      <c r="D37" s="345">
        <v>0.02667</v>
      </c>
    </row>
    <row r="38" spans="1:4" ht="12.75">
      <c r="A38" s="348"/>
      <c r="B38" s="347"/>
      <c r="C38" s="369" t="s">
        <v>733</v>
      </c>
      <c r="D38" s="345">
        <v>0.0001</v>
      </c>
    </row>
    <row r="39" spans="1:4" s="269" customFormat="1" ht="12.75" customHeight="1">
      <c r="A39" s="388"/>
      <c r="B39" s="389">
        <f>SUM(B30:B37)</f>
        <v>1.0000010000000001</v>
      </c>
      <c r="C39" s="396"/>
      <c r="D39" s="397">
        <f>SUM(D30:D38)</f>
        <v>0.9999599999999998</v>
      </c>
    </row>
    <row r="40" spans="2:4" ht="12.75">
      <c r="B40" s="127"/>
      <c r="D40" s="127"/>
    </row>
    <row r="41" ht="12.75">
      <c r="A41" s="69" t="s">
        <v>146</v>
      </c>
    </row>
  </sheetData>
  <mergeCells count="9">
    <mergeCell ref="A5:D5"/>
    <mergeCell ref="A6:D6"/>
    <mergeCell ref="A7:D7"/>
    <mergeCell ref="C9:D9"/>
    <mergeCell ref="C16:D16"/>
    <mergeCell ref="A28:B28"/>
    <mergeCell ref="C28:D28"/>
    <mergeCell ref="A9:B9"/>
    <mergeCell ref="A16:B16"/>
  </mergeCells>
  <printOptions horizontalCentered="1"/>
  <pageMargins left="0.75" right="0.75" top="1" bottom="1" header="0" footer="0"/>
  <pageSetup horizontalDpi="300" verticalDpi="300" orientation="portrait" scale="90" r:id="rId1"/>
  <headerFooter alignWithMargins="0">
    <oddFooter>&amp;C104</oddFooter>
  </headerFooter>
</worksheet>
</file>

<file path=xl/worksheets/sheet84.xml><?xml version="1.0" encoding="utf-8"?>
<worksheet xmlns="http://schemas.openxmlformats.org/spreadsheetml/2006/main" xmlns:r="http://schemas.openxmlformats.org/officeDocument/2006/relationships">
  <dimension ref="A1:G81"/>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717</v>
      </c>
      <c r="B5" s="580"/>
      <c r="C5" s="580"/>
      <c r="D5" s="581"/>
    </row>
    <row r="6" spans="1:4" ht="15.75">
      <c r="A6" s="632" t="s">
        <v>115</v>
      </c>
      <c r="B6" s="632"/>
      <c r="C6" s="632"/>
      <c r="D6" s="632"/>
    </row>
    <row r="7" spans="1:4" ht="15.75">
      <c r="A7" s="633" t="s">
        <v>116</v>
      </c>
      <c r="B7" s="633"/>
      <c r="C7" s="633"/>
      <c r="D7" s="633"/>
    </row>
    <row r="8" spans="1:4" ht="12.75">
      <c r="A8" s="154"/>
      <c r="B8" s="34"/>
      <c r="C8" s="34"/>
      <c r="D8" s="34"/>
    </row>
    <row r="9" spans="1:4" ht="12.75">
      <c r="A9" s="154"/>
      <c r="B9" s="34"/>
      <c r="C9" s="34"/>
      <c r="D9" s="34"/>
    </row>
    <row r="10" spans="1:4" ht="14.25">
      <c r="A10" s="628" t="s">
        <v>680</v>
      </c>
      <c r="B10" s="629"/>
      <c r="C10" s="628" t="s">
        <v>681</v>
      </c>
      <c r="D10" s="629"/>
    </row>
    <row r="11" spans="1:4" ht="12.75">
      <c r="A11" s="343" t="s">
        <v>75</v>
      </c>
      <c r="B11" s="343" t="s">
        <v>665</v>
      </c>
      <c r="C11" s="343" t="s">
        <v>75</v>
      </c>
      <c r="D11" s="343" t="s">
        <v>665</v>
      </c>
    </row>
    <row r="12" spans="1:4" ht="12.75">
      <c r="A12" s="402" t="s">
        <v>147</v>
      </c>
      <c r="B12" s="403">
        <v>0.3172</v>
      </c>
      <c r="C12" s="402" t="s">
        <v>148</v>
      </c>
      <c r="D12" s="403">
        <v>0.8046</v>
      </c>
    </row>
    <row r="13" spans="1:4" ht="12.75">
      <c r="A13" s="402" t="s">
        <v>149</v>
      </c>
      <c r="B13" s="403">
        <v>0.3172</v>
      </c>
      <c r="C13" s="402" t="s">
        <v>150</v>
      </c>
      <c r="D13" s="403">
        <v>0.0371</v>
      </c>
    </row>
    <row r="14" spans="1:4" ht="12.75">
      <c r="A14" s="402" t="s">
        <v>151</v>
      </c>
      <c r="B14" s="403">
        <v>0.1367</v>
      </c>
      <c r="C14" s="402" t="s">
        <v>152</v>
      </c>
      <c r="D14" s="403">
        <v>0.0206</v>
      </c>
    </row>
    <row r="15" spans="1:4" ht="12.75">
      <c r="A15" s="402" t="s">
        <v>153</v>
      </c>
      <c r="B15" s="403">
        <v>0.0089</v>
      </c>
      <c r="C15" s="402" t="s">
        <v>154</v>
      </c>
      <c r="D15" s="403">
        <v>0.01</v>
      </c>
    </row>
    <row r="16" spans="1:7" ht="12.75">
      <c r="A16" s="402" t="s">
        <v>155</v>
      </c>
      <c r="B16" s="403">
        <v>0.0058</v>
      </c>
      <c r="C16" s="402" t="s">
        <v>156</v>
      </c>
      <c r="D16" s="403">
        <v>0.0093</v>
      </c>
      <c r="G16" s="47"/>
    </row>
    <row r="17" spans="1:7" ht="12.75">
      <c r="A17" s="402" t="s">
        <v>157</v>
      </c>
      <c r="B17" s="403">
        <v>0.0044</v>
      </c>
      <c r="C17" s="402" t="s">
        <v>158</v>
      </c>
      <c r="D17" s="403">
        <v>0.0079</v>
      </c>
      <c r="G17" s="47"/>
    </row>
    <row r="18" spans="1:7" ht="12.75">
      <c r="A18" s="402" t="s">
        <v>159</v>
      </c>
      <c r="B18" s="403">
        <v>0.0031</v>
      </c>
      <c r="C18" s="402" t="s">
        <v>160</v>
      </c>
      <c r="D18" s="403">
        <v>0.006</v>
      </c>
      <c r="G18" s="47"/>
    </row>
    <row r="19" spans="1:7" ht="12.75">
      <c r="A19" s="402" t="s">
        <v>161</v>
      </c>
      <c r="B19" s="403">
        <v>0.0028</v>
      </c>
      <c r="C19" s="402" t="s">
        <v>155</v>
      </c>
      <c r="D19" s="403">
        <v>0.0056</v>
      </c>
      <c r="G19" s="47"/>
    </row>
    <row r="20" spans="1:4" ht="12.75">
      <c r="A20" s="402" t="s">
        <v>162</v>
      </c>
      <c r="B20" s="403">
        <v>0.0027</v>
      </c>
      <c r="C20" s="402" t="s">
        <v>163</v>
      </c>
      <c r="D20" s="403">
        <v>0.0056</v>
      </c>
    </row>
    <row r="21" spans="1:7" ht="12.75">
      <c r="A21" s="402" t="s">
        <v>164</v>
      </c>
      <c r="B21" s="403">
        <v>0.0027</v>
      </c>
      <c r="C21" s="402" t="s">
        <v>165</v>
      </c>
      <c r="D21" s="403">
        <v>0.0053</v>
      </c>
      <c r="E21" s="127"/>
      <c r="G21" s="47"/>
    </row>
    <row r="22" spans="1:7" ht="12.75">
      <c r="A22" s="404" t="s">
        <v>733</v>
      </c>
      <c r="B22" s="405">
        <f>100%-SUM(B12:B21)</f>
        <v>0.1985</v>
      </c>
      <c r="C22" s="404" t="s">
        <v>733</v>
      </c>
      <c r="D22" s="405">
        <f>100%-SUM(D12:D21)</f>
        <v>0.08799999999999997</v>
      </c>
      <c r="G22" s="47"/>
    </row>
    <row r="23" spans="1:7" s="269" customFormat="1" ht="12.75">
      <c r="A23" s="406"/>
      <c r="B23" s="407">
        <f>SUM(B12:B22)</f>
        <v>1</v>
      </c>
      <c r="C23" s="406"/>
      <c r="D23" s="407">
        <f>SUM(D12:D22)</f>
        <v>1</v>
      </c>
      <c r="G23" s="408"/>
    </row>
    <row r="24" spans="1:7" s="269" customFormat="1" ht="12.75">
      <c r="A24" s="409"/>
      <c r="B24" s="410"/>
      <c r="C24" s="409"/>
      <c r="D24" s="410"/>
      <c r="G24" s="408"/>
    </row>
    <row r="25" spans="1:4" ht="9.75" customHeight="1">
      <c r="A25" s="3"/>
      <c r="B25" s="392"/>
      <c r="C25" s="34"/>
      <c r="D25" s="411"/>
    </row>
    <row r="26" spans="1:4" ht="14.25">
      <c r="A26" s="628" t="s">
        <v>887</v>
      </c>
      <c r="B26" s="629"/>
      <c r="C26" s="628" t="s">
        <v>682</v>
      </c>
      <c r="D26" s="629"/>
    </row>
    <row r="27" spans="1:4" ht="12.75">
      <c r="A27" s="343" t="s">
        <v>75</v>
      </c>
      <c r="B27" s="343" t="s">
        <v>665</v>
      </c>
      <c r="C27" s="343" t="s">
        <v>75</v>
      </c>
      <c r="D27" s="364" t="s">
        <v>665</v>
      </c>
    </row>
    <row r="28" spans="1:4" s="34" customFormat="1" ht="12.75">
      <c r="A28" s="402" t="s">
        <v>166</v>
      </c>
      <c r="B28" s="403">
        <v>0.6823</v>
      </c>
      <c r="C28" s="402" t="s">
        <v>167</v>
      </c>
      <c r="D28" s="412">
        <v>0.9998</v>
      </c>
    </row>
    <row r="29" spans="1:4" s="34" customFormat="1" ht="12.75">
      <c r="A29" s="402" t="s">
        <v>168</v>
      </c>
      <c r="B29" s="403">
        <v>0.1389</v>
      </c>
      <c r="C29" s="402" t="s">
        <v>169</v>
      </c>
      <c r="D29" s="412">
        <v>0.0002</v>
      </c>
    </row>
    <row r="30" spans="1:4" s="34" customFormat="1" ht="12.75">
      <c r="A30" s="402" t="s">
        <v>170</v>
      </c>
      <c r="B30" s="403">
        <v>0.0901</v>
      </c>
      <c r="C30" s="402"/>
      <c r="D30" s="412"/>
    </row>
    <row r="31" spans="1:4" s="34" customFormat="1" ht="12.75">
      <c r="A31" s="402" t="s">
        <v>171</v>
      </c>
      <c r="B31" s="403">
        <v>0.057</v>
      </c>
      <c r="C31" s="344"/>
      <c r="D31" s="412"/>
    </row>
    <row r="32" spans="1:4" s="34" customFormat="1" ht="12.75">
      <c r="A32" s="402" t="s">
        <v>172</v>
      </c>
      <c r="B32" s="403">
        <v>0.0124</v>
      </c>
      <c r="C32" s="344"/>
      <c r="D32" s="413"/>
    </row>
    <row r="33" spans="1:4" s="34" customFormat="1" ht="12.75">
      <c r="A33" s="402" t="s">
        <v>173</v>
      </c>
      <c r="B33" s="403">
        <v>0.0101</v>
      </c>
      <c r="C33" s="344"/>
      <c r="D33" s="414"/>
    </row>
    <row r="34" spans="1:4" s="34" customFormat="1" ht="12.75" customHeight="1">
      <c r="A34" s="402" t="s">
        <v>174</v>
      </c>
      <c r="B34" s="403">
        <v>0.003</v>
      </c>
      <c r="C34" s="344"/>
      <c r="D34" s="414"/>
    </row>
    <row r="35" spans="1:4" s="34" customFormat="1" ht="12.75">
      <c r="A35" s="402" t="s">
        <v>733</v>
      </c>
      <c r="B35" s="403">
        <f>100%-SUM(B28:B34)</f>
        <v>0.006199999999999983</v>
      </c>
      <c r="C35" s="344"/>
      <c r="D35" s="415"/>
    </row>
    <row r="36" spans="1:7" s="269" customFormat="1" ht="12.75">
      <c r="A36" s="406"/>
      <c r="B36" s="407">
        <f>SUM(B28:B35)</f>
        <v>1</v>
      </c>
      <c r="C36" s="406"/>
      <c r="D36" s="407">
        <f>SUM(D28:D35)</f>
        <v>1</v>
      </c>
      <c r="G36" s="408"/>
    </row>
    <row r="37" spans="1:7" s="269" customFormat="1" ht="12.75">
      <c r="A37" s="409"/>
      <c r="B37" s="410"/>
      <c r="C37" s="409"/>
      <c r="D37" s="410"/>
      <c r="G37" s="408"/>
    </row>
    <row r="38" spans="1:4" ht="9.75" customHeight="1">
      <c r="A38" s="3"/>
      <c r="B38" s="416"/>
      <c r="C38" s="3"/>
      <c r="D38" s="416"/>
    </row>
    <row r="39" spans="1:4" ht="14.25">
      <c r="A39" s="628" t="s">
        <v>789</v>
      </c>
      <c r="B39" s="629"/>
      <c r="C39" s="628" t="s">
        <v>683</v>
      </c>
      <c r="D39" s="629"/>
    </row>
    <row r="40" spans="1:4" ht="12.75">
      <c r="A40" s="343" t="s">
        <v>75</v>
      </c>
      <c r="B40" s="364" t="s">
        <v>665</v>
      </c>
      <c r="C40" s="343" t="s">
        <v>75</v>
      </c>
      <c r="D40" s="364" t="s">
        <v>665</v>
      </c>
    </row>
    <row r="41" spans="1:4" s="34" customFormat="1" ht="12.75">
      <c r="A41" s="402" t="s">
        <v>175</v>
      </c>
      <c r="B41" s="403">
        <v>0.5162</v>
      </c>
      <c r="C41" s="402" t="s">
        <v>176</v>
      </c>
      <c r="D41" s="403">
        <v>0.9759</v>
      </c>
    </row>
    <row r="42" spans="1:4" s="34" customFormat="1" ht="12.75">
      <c r="A42" s="402" t="s">
        <v>177</v>
      </c>
      <c r="B42" s="403">
        <v>0.2469</v>
      </c>
      <c r="C42" s="402" t="s">
        <v>178</v>
      </c>
      <c r="D42" s="403">
        <v>0.0023</v>
      </c>
    </row>
    <row r="43" spans="1:4" s="34" customFormat="1" ht="12.75">
      <c r="A43" s="417" t="s">
        <v>179</v>
      </c>
      <c r="B43" s="403">
        <v>0.0532</v>
      </c>
      <c r="C43" s="402" t="s">
        <v>180</v>
      </c>
      <c r="D43" s="403">
        <v>0.0018</v>
      </c>
    </row>
    <row r="44" spans="1:4" s="34" customFormat="1" ht="12.75">
      <c r="A44" s="417" t="s">
        <v>181</v>
      </c>
      <c r="B44" s="403">
        <v>0.0277</v>
      </c>
      <c r="C44" s="402" t="s">
        <v>182</v>
      </c>
      <c r="D44" s="403">
        <v>0.0005</v>
      </c>
    </row>
    <row r="45" spans="1:4" s="34" customFormat="1" ht="12.75">
      <c r="A45" s="417" t="s">
        <v>183</v>
      </c>
      <c r="B45" s="403">
        <v>0.0233</v>
      </c>
      <c r="C45" s="404" t="s">
        <v>184</v>
      </c>
      <c r="D45" s="405">
        <v>0.0005</v>
      </c>
    </row>
    <row r="46" spans="1:4" s="34" customFormat="1" ht="12.75">
      <c r="A46" s="417" t="s">
        <v>185</v>
      </c>
      <c r="B46" s="403">
        <v>0.0108</v>
      </c>
      <c r="C46" s="402" t="s">
        <v>186</v>
      </c>
      <c r="D46" s="403">
        <v>0.0004</v>
      </c>
    </row>
    <row r="47" spans="1:4" s="34" customFormat="1" ht="12.75">
      <c r="A47" s="417" t="s">
        <v>187</v>
      </c>
      <c r="B47" s="403">
        <v>0.0033</v>
      </c>
      <c r="C47" s="402" t="s">
        <v>188</v>
      </c>
      <c r="D47" s="403">
        <v>0.0003</v>
      </c>
    </row>
    <row r="48" spans="1:4" s="34" customFormat="1" ht="12.75">
      <c r="A48" s="417" t="s">
        <v>189</v>
      </c>
      <c r="B48" s="403">
        <v>0.0028</v>
      </c>
      <c r="C48" s="402" t="s">
        <v>190</v>
      </c>
      <c r="D48" s="403">
        <v>0.0003</v>
      </c>
    </row>
    <row r="49" spans="1:4" s="34" customFormat="1" ht="12.75">
      <c r="A49" s="417" t="s">
        <v>191</v>
      </c>
      <c r="B49" s="403">
        <v>0.002</v>
      </c>
      <c r="C49" s="402" t="s">
        <v>192</v>
      </c>
      <c r="D49" s="403">
        <v>0.0002</v>
      </c>
    </row>
    <row r="50" spans="1:4" s="34" customFormat="1" ht="12.75">
      <c r="A50" s="417" t="s">
        <v>193</v>
      </c>
      <c r="B50" s="403">
        <v>0.0018</v>
      </c>
      <c r="C50" s="404" t="s">
        <v>194</v>
      </c>
      <c r="D50" s="405">
        <v>0.0002</v>
      </c>
    </row>
    <row r="51" spans="1:4" s="34" customFormat="1" ht="12.75">
      <c r="A51" s="404" t="s">
        <v>733</v>
      </c>
      <c r="B51" s="405">
        <f>100%-SUM(B41:B50)</f>
        <v>0.11199999999999999</v>
      </c>
      <c r="C51" s="404" t="s">
        <v>733</v>
      </c>
      <c r="D51" s="405">
        <f>100%-SUM(D41:D50)</f>
        <v>0.017600000000000282</v>
      </c>
    </row>
    <row r="52" spans="1:7" s="269" customFormat="1" ht="12.75">
      <c r="A52" s="406"/>
      <c r="B52" s="407">
        <f>SUM(B41:B51)</f>
        <v>1</v>
      </c>
      <c r="C52" s="406"/>
      <c r="D52" s="407">
        <f>SUM(D41:D51)</f>
        <v>1</v>
      </c>
      <c r="G52" s="408"/>
    </row>
    <row r="53" spans="1:7" s="269" customFormat="1" ht="12.75">
      <c r="A53" s="409"/>
      <c r="B53" s="410"/>
      <c r="C53" s="409"/>
      <c r="D53" s="410"/>
      <c r="G53" s="408"/>
    </row>
    <row r="54" spans="1:4" ht="9.75" customHeight="1">
      <c r="A54" s="34"/>
      <c r="B54" s="98"/>
      <c r="D54" s="98"/>
    </row>
    <row r="55" spans="1:2" ht="14.25">
      <c r="A55" s="628" t="s">
        <v>684</v>
      </c>
      <c r="B55" s="629"/>
    </row>
    <row r="56" spans="1:2" ht="12.75">
      <c r="A56" s="343" t="s">
        <v>75</v>
      </c>
      <c r="B56" s="364" t="s">
        <v>665</v>
      </c>
    </row>
    <row r="57" spans="1:2" s="34" customFormat="1" ht="12.75">
      <c r="A57" s="402" t="s">
        <v>195</v>
      </c>
      <c r="B57" s="412">
        <v>0.9999</v>
      </c>
    </row>
    <row r="58" spans="1:2" s="34" customFormat="1" ht="12.75">
      <c r="A58" s="402" t="s">
        <v>196</v>
      </c>
      <c r="B58" s="403">
        <v>0.0001</v>
      </c>
    </row>
    <row r="59" spans="1:2" s="34" customFormat="1" ht="12.75">
      <c r="A59" s="418"/>
      <c r="B59" s="419">
        <f>SUM(B57:B58)</f>
        <v>1</v>
      </c>
    </row>
    <row r="60" spans="1:2" s="34" customFormat="1" ht="12.75">
      <c r="A60" s="402"/>
      <c r="B60" s="420"/>
    </row>
    <row r="61" ht="11.25" customHeight="1">
      <c r="B61" s="127"/>
    </row>
    <row r="62" ht="12.75">
      <c r="A62" s="148" t="s">
        <v>197</v>
      </c>
    </row>
    <row r="81" ht="12.75">
      <c r="B81" s="127"/>
    </row>
  </sheetData>
  <mergeCells count="10">
    <mergeCell ref="A7:D7"/>
    <mergeCell ref="A5:D5"/>
    <mergeCell ref="A6:D6"/>
    <mergeCell ref="A10:B10"/>
    <mergeCell ref="C10:D10"/>
    <mergeCell ref="A55:B55"/>
    <mergeCell ref="A26:B26"/>
    <mergeCell ref="C26:D26"/>
    <mergeCell ref="A39:B39"/>
    <mergeCell ref="C39:D39"/>
  </mergeCells>
  <printOptions horizontalCentered="1"/>
  <pageMargins left="0.75" right="0.75" top="1" bottom="1" header="0" footer="0"/>
  <pageSetup horizontalDpi="300" verticalDpi="300" orientation="portrait" scale="90" r:id="rId1"/>
  <headerFooter alignWithMargins="0">
    <oddFooter>&amp;C105</oddFooter>
  </headerFooter>
</worksheet>
</file>

<file path=xl/worksheets/sheet85.xml><?xml version="1.0" encoding="utf-8"?>
<worksheet xmlns="http://schemas.openxmlformats.org/spreadsheetml/2006/main" xmlns:r="http://schemas.openxmlformats.org/officeDocument/2006/relationships">
  <dimension ref="A1:D30"/>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692</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198</v>
      </c>
      <c r="B9" s="629"/>
      <c r="C9" s="628" t="s">
        <v>199</v>
      </c>
      <c r="D9" s="629"/>
    </row>
    <row r="10" spans="1:4" ht="12.75">
      <c r="A10" s="343" t="s">
        <v>75</v>
      </c>
      <c r="B10" s="343" t="s">
        <v>665</v>
      </c>
      <c r="C10" s="343" t="s">
        <v>75</v>
      </c>
      <c r="D10" s="343" t="s">
        <v>665</v>
      </c>
    </row>
    <row r="11" spans="1:4" ht="12.75">
      <c r="A11" s="344" t="s">
        <v>200</v>
      </c>
      <c r="B11" s="345">
        <v>1</v>
      </c>
      <c r="C11" s="344" t="s">
        <v>125</v>
      </c>
      <c r="D11" s="421">
        <v>0.9999978686</v>
      </c>
    </row>
    <row r="12" spans="1:4" ht="12.75">
      <c r="A12" s="348"/>
      <c r="B12" s="345"/>
      <c r="C12" s="344" t="s">
        <v>201</v>
      </c>
      <c r="D12" s="421">
        <v>2.1314E-06</v>
      </c>
    </row>
    <row r="13" spans="1:4" s="269" customFormat="1" ht="12.75">
      <c r="A13" s="353"/>
      <c r="B13" s="354">
        <f>SUM(B11:B12)</f>
        <v>1</v>
      </c>
      <c r="C13" s="396"/>
      <c r="D13" s="397">
        <f>SUM(D11:D12)</f>
        <v>1</v>
      </c>
    </row>
    <row r="14" spans="1:4" ht="12.75">
      <c r="A14" s="3"/>
      <c r="B14" s="392"/>
      <c r="C14" s="34"/>
      <c r="D14" s="393"/>
    </row>
    <row r="15" spans="1:4" ht="12.75">
      <c r="A15" s="34"/>
      <c r="B15" s="34"/>
      <c r="C15" s="34"/>
      <c r="D15" s="34"/>
    </row>
    <row r="16" spans="1:4" ht="14.25">
      <c r="A16" s="628" t="s">
        <v>202</v>
      </c>
      <c r="B16" s="629"/>
      <c r="C16" s="628" t="s">
        <v>203</v>
      </c>
      <c r="D16" s="629"/>
    </row>
    <row r="17" spans="1:4" ht="12.75">
      <c r="A17" s="343" t="s">
        <v>75</v>
      </c>
      <c r="B17" s="343" t="s">
        <v>665</v>
      </c>
      <c r="C17" s="343" t="s">
        <v>75</v>
      </c>
      <c r="D17" s="364" t="s">
        <v>665</v>
      </c>
    </row>
    <row r="18" spans="1:4" ht="12.75">
      <c r="A18" s="366" t="s">
        <v>204</v>
      </c>
      <c r="B18" s="345">
        <v>1</v>
      </c>
      <c r="C18" s="344" t="s">
        <v>205</v>
      </c>
      <c r="D18" s="345">
        <v>1</v>
      </c>
    </row>
    <row r="19" spans="1:4" ht="12.75">
      <c r="A19" s="345"/>
      <c r="B19" s="345"/>
      <c r="C19" s="349"/>
      <c r="D19" s="422"/>
    </row>
    <row r="20" spans="1:4" s="269" customFormat="1" ht="12.75">
      <c r="A20" s="354"/>
      <c r="B20" s="354">
        <f>SUM(B18:B19)</f>
        <v>1</v>
      </c>
      <c r="C20" s="353"/>
      <c r="D20" s="354">
        <f>SUM(D18:D19)</f>
        <v>1</v>
      </c>
    </row>
    <row r="21" spans="1:4" ht="12.75">
      <c r="A21" s="3"/>
      <c r="B21" s="3"/>
      <c r="C21" s="3"/>
      <c r="D21" s="416"/>
    </row>
    <row r="22" spans="1:4" ht="12.75">
      <c r="A22" s="34"/>
      <c r="B22" s="34"/>
      <c r="C22" s="34"/>
      <c r="D22" s="34"/>
    </row>
    <row r="23" spans="1:2" ht="14.25">
      <c r="A23" s="628" t="s">
        <v>206</v>
      </c>
      <c r="B23" s="629"/>
    </row>
    <row r="24" spans="1:2" ht="12.75">
      <c r="A24" s="343" t="s">
        <v>75</v>
      </c>
      <c r="B24" s="364" t="s">
        <v>665</v>
      </c>
    </row>
    <row r="25" spans="1:2" ht="12.75">
      <c r="A25" s="344" t="s">
        <v>207</v>
      </c>
      <c r="B25" s="345">
        <v>1</v>
      </c>
    </row>
    <row r="26" spans="1:2" ht="12.75">
      <c r="A26" s="349"/>
      <c r="B26" s="422"/>
    </row>
    <row r="27" spans="1:2" ht="12.75">
      <c r="A27" s="351"/>
      <c r="B27" s="354">
        <f>SUM(B25:B26)</f>
        <v>1</v>
      </c>
    </row>
    <row r="28" spans="1:4" ht="12.75">
      <c r="A28" s="34"/>
      <c r="B28" s="34"/>
      <c r="C28" s="34"/>
      <c r="D28" s="98"/>
    </row>
    <row r="29" spans="1:4" ht="12.75">
      <c r="A29" s="69" t="s">
        <v>209</v>
      </c>
      <c r="B29" s="34"/>
      <c r="C29" s="34"/>
      <c r="D29" s="34"/>
    </row>
    <row r="30" ht="12.75">
      <c r="A30" s="70" t="s">
        <v>208</v>
      </c>
    </row>
  </sheetData>
  <mergeCells count="8">
    <mergeCell ref="C16:D16"/>
    <mergeCell ref="A23:B23"/>
    <mergeCell ref="A5:D5"/>
    <mergeCell ref="A6:D6"/>
    <mergeCell ref="A7:D7"/>
    <mergeCell ref="A9:B9"/>
    <mergeCell ref="C9:D9"/>
    <mergeCell ref="A16:B16"/>
  </mergeCells>
  <printOptions horizontalCentered="1"/>
  <pageMargins left="0.75" right="0.75" top="1" bottom="1" header="0" footer="0"/>
  <pageSetup horizontalDpi="300" verticalDpi="300" orientation="portrait" scale="90" r:id="rId1"/>
  <headerFooter alignWithMargins="0">
    <oddFooter>&amp;C106</oddFooter>
  </headerFooter>
</worksheet>
</file>

<file path=xl/worksheets/sheet86.xml><?xml version="1.0" encoding="utf-8"?>
<worksheet xmlns="http://schemas.openxmlformats.org/spreadsheetml/2006/main" xmlns:r="http://schemas.openxmlformats.org/officeDocument/2006/relationships">
  <dimension ref="A1:D39"/>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695</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696</v>
      </c>
      <c r="B9" s="629"/>
      <c r="C9" s="628" t="s">
        <v>852</v>
      </c>
      <c r="D9" s="629"/>
    </row>
    <row r="10" spans="1:4" ht="12.75">
      <c r="A10" s="343" t="s">
        <v>75</v>
      </c>
      <c r="B10" s="343" t="s">
        <v>665</v>
      </c>
      <c r="C10" s="343" t="s">
        <v>75</v>
      </c>
      <c r="D10" s="343" t="s">
        <v>665</v>
      </c>
    </row>
    <row r="11" spans="1:4" ht="12.75">
      <c r="A11" s="344" t="s">
        <v>210</v>
      </c>
      <c r="B11" s="345">
        <v>0.4873</v>
      </c>
      <c r="C11" s="346" t="s">
        <v>211</v>
      </c>
      <c r="D11" s="350">
        <v>0.2308</v>
      </c>
    </row>
    <row r="12" spans="1:4" ht="12.75">
      <c r="A12" s="348" t="s">
        <v>212</v>
      </c>
      <c r="B12" s="345">
        <v>0.4463</v>
      </c>
      <c r="C12" s="344" t="s">
        <v>213</v>
      </c>
      <c r="D12" s="347">
        <v>0.192</v>
      </c>
    </row>
    <row r="13" spans="1:4" ht="12.75">
      <c r="A13" s="348" t="s">
        <v>214</v>
      </c>
      <c r="B13" s="345">
        <v>0.0277</v>
      </c>
      <c r="C13" s="344" t="s">
        <v>215</v>
      </c>
      <c r="D13" s="347">
        <v>0.19</v>
      </c>
    </row>
    <row r="14" spans="1:4" ht="12.75">
      <c r="A14" s="344" t="s">
        <v>216</v>
      </c>
      <c r="B14" s="345">
        <v>0.0277</v>
      </c>
      <c r="C14" s="349" t="s">
        <v>217</v>
      </c>
      <c r="D14" s="350">
        <v>0.076</v>
      </c>
    </row>
    <row r="15" spans="1:4" ht="12.75">
      <c r="A15" s="344" t="s">
        <v>733</v>
      </c>
      <c r="B15" s="345">
        <f>100%-SUM(B11:B14)</f>
        <v>0.01100000000000012</v>
      </c>
      <c r="C15" s="344" t="s">
        <v>218</v>
      </c>
      <c r="D15" s="345">
        <v>0.076</v>
      </c>
    </row>
    <row r="16" spans="1:4" ht="12.75">
      <c r="A16" s="344"/>
      <c r="B16" s="345"/>
      <c r="C16" s="344" t="s">
        <v>219</v>
      </c>
      <c r="D16" s="347">
        <v>0.0728</v>
      </c>
    </row>
    <row r="17" spans="1:4" ht="12.75">
      <c r="A17" s="344"/>
      <c r="B17" s="345"/>
      <c r="C17" s="349" t="s">
        <v>220</v>
      </c>
      <c r="D17" s="350">
        <v>0.07</v>
      </c>
    </row>
    <row r="18" spans="1:4" ht="12.75">
      <c r="A18" s="344"/>
      <c r="B18" s="345"/>
      <c r="C18" s="344" t="s">
        <v>221</v>
      </c>
      <c r="D18" s="345">
        <v>0.0342</v>
      </c>
    </row>
    <row r="19" spans="1:4" ht="12.75">
      <c r="A19" s="344"/>
      <c r="B19" s="345"/>
      <c r="C19" s="344" t="s">
        <v>733</v>
      </c>
      <c r="D19" s="345">
        <f>100%-SUM(D11:D18)</f>
        <v>0.05820000000000003</v>
      </c>
    </row>
    <row r="20" spans="1:4" s="269" customFormat="1" ht="12.75">
      <c r="A20" s="355"/>
      <c r="B20" s="354">
        <f>SUM(B11:B19)</f>
        <v>1</v>
      </c>
      <c r="C20" s="355"/>
      <c r="D20" s="354">
        <f>SUM(D11:D19)</f>
        <v>1</v>
      </c>
    </row>
    <row r="21" spans="1:4" ht="12.75">
      <c r="A21" s="34"/>
      <c r="B21" s="34"/>
      <c r="C21" s="34"/>
      <c r="D21" s="98"/>
    </row>
    <row r="22" spans="1:4" ht="12.75">
      <c r="A22" s="34"/>
      <c r="B22" s="34"/>
      <c r="C22" s="34"/>
      <c r="D22" s="98"/>
    </row>
    <row r="23" spans="1:4" ht="14.25">
      <c r="A23" s="628" t="s">
        <v>697</v>
      </c>
      <c r="B23" s="629"/>
      <c r="C23" s="222"/>
      <c r="D23" s="222"/>
    </row>
    <row r="24" spans="1:4" ht="12.75">
      <c r="A24" s="343" t="s">
        <v>75</v>
      </c>
      <c r="B24" s="364" t="s">
        <v>665</v>
      </c>
      <c r="C24" s="423"/>
      <c r="D24" s="424"/>
    </row>
    <row r="25" spans="1:4" ht="12.75">
      <c r="A25" s="344" t="s">
        <v>222</v>
      </c>
      <c r="B25" s="345">
        <v>0.2536</v>
      </c>
      <c r="C25" s="423"/>
      <c r="D25" s="424"/>
    </row>
    <row r="26" spans="1:4" ht="12.75">
      <c r="A26" s="344" t="s">
        <v>223</v>
      </c>
      <c r="B26" s="345">
        <v>0.1014</v>
      </c>
      <c r="C26" s="425"/>
      <c r="D26" s="222"/>
    </row>
    <row r="27" spans="1:4" ht="12.75">
      <c r="A27" s="349" t="s">
        <v>224</v>
      </c>
      <c r="B27" s="345">
        <v>0.1014</v>
      </c>
      <c r="C27" s="425"/>
      <c r="D27" s="222"/>
    </row>
    <row r="28" spans="1:4" ht="12.75">
      <c r="A28" s="344" t="s">
        <v>225</v>
      </c>
      <c r="B28" s="345">
        <v>0.1011</v>
      </c>
      <c r="C28" s="425"/>
      <c r="D28" s="222"/>
    </row>
    <row r="29" spans="1:4" ht="12.75">
      <c r="A29" s="344" t="s">
        <v>226</v>
      </c>
      <c r="B29" s="345">
        <v>0.0954</v>
      </c>
      <c r="C29" s="425"/>
      <c r="D29" s="222"/>
    </row>
    <row r="30" spans="1:4" ht="12.75">
      <c r="A30" s="349" t="s">
        <v>227</v>
      </c>
      <c r="B30" s="345">
        <v>0.0653</v>
      </c>
      <c r="C30" s="425"/>
      <c r="D30" s="222"/>
    </row>
    <row r="31" spans="1:4" ht="12.75">
      <c r="A31" s="344" t="s">
        <v>228</v>
      </c>
      <c r="B31" s="345">
        <v>0.06</v>
      </c>
      <c r="C31" s="425"/>
      <c r="D31" s="222"/>
    </row>
    <row r="32" spans="1:4" ht="12.75">
      <c r="A32" s="349" t="s">
        <v>229</v>
      </c>
      <c r="B32" s="345">
        <v>0.057</v>
      </c>
      <c r="C32" s="425"/>
      <c r="D32" s="222"/>
    </row>
    <row r="33" spans="1:4" ht="12.75">
      <c r="A33" s="344" t="s">
        <v>230</v>
      </c>
      <c r="B33" s="345">
        <v>0.0378</v>
      </c>
      <c r="C33" s="425"/>
      <c r="D33" s="222"/>
    </row>
    <row r="34" spans="1:4" ht="12.75">
      <c r="A34" s="344" t="s">
        <v>231</v>
      </c>
      <c r="B34" s="345">
        <v>0.025</v>
      </c>
      <c r="C34" s="426"/>
      <c r="D34" s="222"/>
    </row>
    <row r="35" spans="1:4" ht="12.75">
      <c r="A35" s="344" t="s">
        <v>733</v>
      </c>
      <c r="B35" s="345">
        <f>100%-SUM(B25:B34)</f>
        <v>0.10199999999999998</v>
      </c>
      <c r="C35" s="426"/>
      <c r="D35" s="222"/>
    </row>
    <row r="36" spans="1:4" ht="12.75">
      <c r="A36" s="344"/>
      <c r="B36" s="354">
        <f>SUM(B25:B35)</f>
        <v>1</v>
      </c>
      <c r="C36" s="426"/>
      <c r="D36" s="222"/>
    </row>
    <row r="37" spans="1:4" ht="12.75">
      <c r="A37" s="34"/>
      <c r="B37" s="98"/>
      <c r="C37" s="34"/>
      <c r="D37" s="34"/>
    </row>
    <row r="38" spans="1:4" ht="12.75">
      <c r="A38" s="71" t="s">
        <v>233</v>
      </c>
      <c r="B38" s="34"/>
      <c r="C38" s="34"/>
      <c r="D38" s="34"/>
    </row>
    <row r="39" ht="12.75">
      <c r="A39" s="68" t="s">
        <v>232</v>
      </c>
    </row>
  </sheetData>
  <mergeCells count="6">
    <mergeCell ref="A23:B23"/>
    <mergeCell ref="A5:D5"/>
    <mergeCell ref="A6:D6"/>
    <mergeCell ref="A7:D7"/>
    <mergeCell ref="A9:B9"/>
    <mergeCell ref="C9:D9"/>
  </mergeCells>
  <printOptions horizontalCentered="1"/>
  <pageMargins left="0.75" right="0.75" top="1" bottom="1" header="0" footer="0"/>
  <pageSetup horizontalDpi="300" verticalDpi="300" orientation="portrait" scale="90" r:id="rId1"/>
  <headerFooter alignWithMargins="0">
    <oddFooter>&amp;C107</oddFooter>
  </headerFooter>
</worksheet>
</file>

<file path=xl/worksheets/sheet87.xml><?xml version="1.0" encoding="utf-8"?>
<worksheet xmlns="http://schemas.openxmlformats.org/spreadsheetml/2006/main" xmlns:r="http://schemas.openxmlformats.org/officeDocument/2006/relationships">
  <dimension ref="A1:D58"/>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 min="5" max="5" width="33.574218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699</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1018</v>
      </c>
      <c r="B9" s="629"/>
      <c r="C9" s="628" t="s">
        <v>521</v>
      </c>
      <c r="D9" s="629"/>
    </row>
    <row r="10" spans="1:4" ht="12.75">
      <c r="A10" s="343" t="s">
        <v>75</v>
      </c>
      <c r="B10" s="343" t="s">
        <v>665</v>
      </c>
      <c r="C10" s="343" t="s">
        <v>75</v>
      </c>
      <c r="D10" s="343" t="s">
        <v>665</v>
      </c>
    </row>
    <row r="11" spans="1:4" ht="29.25" customHeight="1">
      <c r="A11" s="352" t="s">
        <v>234</v>
      </c>
      <c r="B11" s="374">
        <v>0.95</v>
      </c>
      <c r="C11" s="352" t="s">
        <v>235</v>
      </c>
      <c r="D11" s="374">
        <v>0.8976</v>
      </c>
    </row>
    <row r="12" spans="1:4" ht="12.75">
      <c r="A12" s="344" t="s">
        <v>236</v>
      </c>
      <c r="B12" s="345">
        <v>0.05</v>
      </c>
      <c r="C12" s="352" t="s">
        <v>237</v>
      </c>
      <c r="D12" s="345">
        <v>0.1024</v>
      </c>
    </row>
    <row r="13" spans="1:4" s="269" customFormat="1" ht="12.75">
      <c r="A13" s="355"/>
      <c r="B13" s="354">
        <f>SUM(B11:B12)</f>
        <v>1</v>
      </c>
      <c r="C13" s="356"/>
      <c r="D13" s="354">
        <f>SUM(D11:D12)</f>
        <v>1</v>
      </c>
    </row>
    <row r="14" spans="1:4" ht="12.75">
      <c r="A14" s="3"/>
      <c r="B14" s="392"/>
      <c r="C14" s="34"/>
      <c r="D14" s="393"/>
    </row>
    <row r="15" spans="1:4" ht="7.5" customHeight="1">
      <c r="A15" s="3"/>
      <c r="B15" s="392"/>
      <c r="C15" s="34"/>
      <c r="D15" s="393"/>
    </row>
    <row r="16" spans="1:4" ht="14.25">
      <c r="A16" s="628" t="s">
        <v>800</v>
      </c>
      <c r="B16" s="629"/>
      <c r="C16" s="628" t="s">
        <v>238</v>
      </c>
      <c r="D16" s="629"/>
    </row>
    <row r="17" spans="1:4" ht="12.75">
      <c r="A17" s="343" t="s">
        <v>75</v>
      </c>
      <c r="B17" s="343" t="s">
        <v>665</v>
      </c>
      <c r="C17" s="343" t="s">
        <v>75</v>
      </c>
      <c r="D17" s="364" t="s">
        <v>665</v>
      </c>
    </row>
    <row r="18" spans="1:4" ht="25.5">
      <c r="A18" s="352" t="s">
        <v>239</v>
      </c>
      <c r="B18" s="374">
        <v>0.51</v>
      </c>
      <c r="C18" s="352" t="s">
        <v>240</v>
      </c>
      <c r="D18" s="374">
        <v>0.51</v>
      </c>
    </row>
    <row r="19" spans="1:4" ht="25.5">
      <c r="A19" s="352" t="s">
        <v>241</v>
      </c>
      <c r="B19" s="374">
        <v>0.33</v>
      </c>
      <c r="C19" s="352" t="s">
        <v>242</v>
      </c>
      <c r="D19" s="374">
        <v>0.245</v>
      </c>
    </row>
    <row r="20" spans="1:4" ht="12.75">
      <c r="A20" s="344" t="s">
        <v>118</v>
      </c>
      <c r="B20" s="345">
        <v>0.112</v>
      </c>
      <c r="C20" s="344" t="s">
        <v>243</v>
      </c>
      <c r="D20" s="345">
        <v>0.245</v>
      </c>
    </row>
    <row r="21" spans="1:4" ht="12.75">
      <c r="A21" s="344" t="s">
        <v>215</v>
      </c>
      <c r="B21" s="345">
        <v>0.048</v>
      </c>
      <c r="C21" s="352"/>
      <c r="D21" s="345"/>
    </row>
    <row r="22" spans="1:4" s="269" customFormat="1" ht="12.75">
      <c r="A22" s="355"/>
      <c r="B22" s="354">
        <f>SUM(B18:B21)</f>
        <v>1</v>
      </c>
      <c r="C22" s="356"/>
      <c r="D22" s="354">
        <f>SUM(D18:D21)</f>
        <v>1</v>
      </c>
    </row>
    <row r="23" spans="1:4" ht="12.75">
      <c r="A23" s="3"/>
      <c r="B23" s="3"/>
      <c r="C23" s="3"/>
      <c r="D23" s="416"/>
    </row>
    <row r="24" spans="1:4" ht="7.5" customHeight="1">
      <c r="A24" s="3"/>
      <c r="B24" s="3"/>
      <c r="C24" s="3"/>
      <c r="D24" s="416"/>
    </row>
    <row r="25" spans="1:4" ht="14.25">
      <c r="A25" s="628" t="s">
        <v>701</v>
      </c>
      <c r="B25" s="629"/>
      <c r="C25" s="628" t="s">
        <v>1021</v>
      </c>
      <c r="D25" s="629"/>
    </row>
    <row r="26" spans="1:4" ht="12.75">
      <c r="A26" s="343" t="s">
        <v>75</v>
      </c>
      <c r="B26" s="364" t="s">
        <v>665</v>
      </c>
      <c r="C26" s="343" t="s">
        <v>75</v>
      </c>
      <c r="D26" s="343" t="s">
        <v>665</v>
      </c>
    </row>
    <row r="27" spans="1:4" ht="25.5">
      <c r="A27" s="352" t="s">
        <v>244</v>
      </c>
      <c r="B27" s="374">
        <v>0.943</v>
      </c>
      <c r="C27" s="352" t="s">
        <v>245</v>
      </c>
      <c r="D27" s="374">
        <v>0.999</v>
      </c>
    </row>
    <row r="28" spans="1:4" ht="12.75" customHeight="1">
      <c r="A28" s="344" t="s">
        <v>246</v>
      </c>
      <c r="B28" s="347">
        <v>0.057</v>
      </c>
      <c r="C28" s="427" t="s">
        <v>247</v>
      </c>
      <c r="D28" s="376">
        <v>0.001</v>
      </c>
    </row>
    <row r="29" spans="1:4" s="269" customFormat="1" ht="12.75">
      <c r="A29" s="355"/>
      <c r="B29" s="354">
        <f>SUM(B27:B28)</f>
        <v>1</v>
      </c>
      <c r="C29" s="356"/>
      <c r="D29" s="354">
        <f>SUM(D27:D28)</f>
        <v>1</v>
      </c>
    </row>
    <row r="30" spans="1:4" ht="12.75">
      <c r="A30" s="34"/>
      <c r="B30" s="428"/>
      <c r="C30" s="429"/>
      <c r="D30" s="430"/>
    </row>
    <row r="31" spans="1:4" ht="7.5" customHeight="1">
      <c r="A31" s="34"/>
      <c r="B31" s="363"/>
      <c r="C31" s="431"/>
      <c r="D31" s="116"/>
    </row>
    <row r="32" spans="1:4" ht="14.25">
      <c r="A32" s="628" t="s">
        <v>522</v>
      </c>
      <c r="B32" s="629"/>
      <c r="C32" s="628" t="s">
        <v>702</v>
      </c>
      <c r="D32" s="629"/>
    </row>
    <row r="33" spans="1:4" ht="12.75">
      <c r="A33" s="343" t="s">
        <v>75</v>
      </c>
      <c r="B33" s="364" t="s">
        <v>665</v>
      </c>
      <c r="C33" s="343" t="s">
        <v>75</v>
      </c>
      <c r="D33" s="364" t="s">
        <v>665</v>
      </c>
    </row>
    <row r="34" spans="1:4" ht="12.75" customHeight="1">
      <c r="A34" s="344" t="s">
        <v>248</v>
      </c>
      <c r="B34" s="345">
        <v>0.9999</v>
      </c>
      <c r="C34" s="352" t="s">
        <v>249</v>
      </c>
      <c r="D34" s="432">
        <v>0.99999904</v>
      </c>
    </row>
    <row r="35" spans="1:4" ht="12.75">
      <c r="A35" s="344" t="s">
        <v>250</v>
      </c>
      <c r="B35" s="347">
        <v>0.0001</v>
      </c>
      <c r="C35" s="344" t="s">
        <v>251</v>
      </c>
      <c r="D35" s="421">
        <v>9.6E-07</v>
      </c>
    </row>
    <row r="36" spans="1:4" s="269" customFormat="1" ht="12.75">
      <c r="A36" s="355"/>
      <c r="B36" s="354">
        <f>SUM(B34:B35)</f>
        <v>1</v>
      </c>
      <c r="C36" s="356"/>
      <c r="D36" s="354">
        <f>SUM(D34:D35)</f>
        <v>1</v>
      </c>
    </row>
    <row r="37" spans="1:4" ht="12.75">
      <c r="A37" s="34"/>
      <c r="B37" s="34"/>
      <c r="C37" s="34"/>
      <c r="D37" s="98"/>
    </row>
    <row r="38" spans="1:4" ht="7.5" customHeight="1">
      <c r="A38" s="34"/>
      <c r="B38" s="34"/>
      <c r="C38" s="34"/>
      <c r="D38" s="98"/>
    </row>
    <row r="39" spans="1:4" ht="14.25">
      <c r="A39" s="628" t="s">
        <v>252</v>
      </c>
      <c r="B39" s="629"/>
      <c r="C39" s="628" t="s">
        <v>704</v>
      </c>
      <c r="D39" s="629"/>
    </row>
    <row r="40" spans="1:4" ht="12.75">
      <c r="A40" s="343" t="s">
        <v>75</v>
      </c>
      <c r="B40" s="364" t="s">
        <v>665</v>
      </c>
      <c r="C40" s="343" t="s">
        <v>75</v>
      </c>
      <c r="D40" s="364" t="s">
        <v>665</v>
      </c>
    </row>
    <row r="41" spans="1:4" ht="38.25">
      <c r="A41" s="352" t="s">
        <v>253</v>
      </c>
      <c r="B41" s="374">
        <v>0.75</v>
      </c>
      <c r="C41" s="352" t="s">
        <v>254</v>
      </c>
      <c r="D41" s="374">
        <v>0.51</v>
      </c>
    </row>
    <row r="42" spans="1:4" ht="25.5">
      <c r="A42" s="352" t="s">
        <v>255</v>
      </c>
      <c r="B42" s="374">
        <v>0.25</v>
      </c>
      <c r="C42" s="433" t="s">
        <v>256</v>
      </c>
      <c r="D42" s="374">
        <v>0.33</v>
      </c>
    </row>
    <row r="43" spans="1:4" ht="12.75">
      <c r="A43" s="344"/>
      <c r="B43" s="434"/>
      <c r="C43" s="433" t="s">
        <v>257</v>
      </c>
      <c r="D43" s="435">
        <v>0.16</v>
      </c>
    </row>
    <row r="44" spans="1:4" s="269" customFormat="1" ht="12.75">
      <c r="A44" s="355"/>
      <c r="B44" s="354">
        <f>SUM(B41:B43)</f>
        <v>1</v>
      </c>
      <c r="C44" s="356"/>
      <c r="D44" s="354">
        <f>SUM(D41:D43)</f>
        <v>1</v>
      </c>
    </row>
    <row r="45" spans="1:4" ht="12.75">
      <c r="A45" s="34"/>
      <c r="B45" s="34"/>
      <c r="C45" s="34"/>
      <c r="D45" s="98"/>
    </row>
    <row r="46" spans="1:4" ht="7.5" customHeight="1">
      <c r="A46" s="34"/>
      <c r="B46" s="34"/>
      <c r="C46" s="34"/>
      <c r="D46" s="98"/>
    </row>
    <row r="47" spans="1:4" ht="14.25">
      <c r="A47" s="628" t="s">
        <v>705</v>
      </c>
      <c r="B47" s="629"/>
      <c r="C47" s="636"/>
      <c r="D47" s="637"/>
    </row>
    <row r="48" spans="1:4" ht="12.75">
      <c r="A48" s="343" t="s">
        <v>75</v>
      </c>
      <c r="B48" s="364" t="s">
        <v>665</v>
      </c>
      <c r="C48" s="423"/>
      <c r="D48" s="436"/>
    </row>
    <row r="49" spans="1:4" ht="12.75">
      <c r="A49" s="433" t="s">
        <v>258</v>
      </c>
      <c r="B49" s="345">
        <v>0.5</v>
      </c>
      <c r="C49" s="437"/>
      <c r="D49" s="438"/>
    </row>
    <row r="50" spans="1:4" ht="12.75">
      <c r="A50" s="433" t="s">
        <v>259</v>
      </c>
      <c r="B50" s="347">
        <v>0.4881</v>
      </c>
      <c r="C50" s="437"/>
      <c r="D50" s="438"/>
    </row>
    <row r="51" spans="1:4" ht="12.75">
      <c r="A51" s="344" t="s">
        <v>260</v>
      </c>
      <c r="B51" s="347">
        <v>0.0119</v>
      </c>
      <c r="C51" s="437"/>
      <c r="D51" s="438"/>
    </row>
    <row r="52" spans="1:4" ht="12.75">
      <c r="A52" s="351"/>
      <c r="B52" s="439"/>
      <c r="C52" s="437"/>
      <c r="D52" s="438"/>
    </row>
    <row r="53" spans="1:4" ht="12.75">
      <c r="A53" s="351"/>
      <c r="B53" s="439"/>
      <c r="C53" s="437"/>
      <c r="D53" s="438"/>
    </row>
    <row r="54" spans="1:4" ht="12.75">
      <c r="A54" s="351"/>
      <c r="B54" s="439"/>
      <c r="C54" s="437"/>
      <c r="D54" s="438"/>
    </row>
    <row r="55" spans="1:4" s="269" customFormat="1" ht="12.75">
      <c r="A55" s="355"/>
      <c r="B55" s="354">
        <f>SUM(B49:B54)</f>
        <v>1</v>
      </c>
      <c r="C55" s="440"/>
      <c r="D55" s="441"/>
    </row>
    <row r="56" spans="1:4" ht="12.75">
      <c r="A56" s="442"/>
      <c r="B56" s="443"/>
      <c r="C56" s="125"/>
      <c r="D56" s="444"/>
    </row>
    <row r="57" spans="1:4" ht="12.75">
      <c r="A57" s="69" t="s">
        <v>262</v>
      </c>
      <c r="B57" s="34"/>
      <c r="C57" s="34"/>
      <c r="D57" s="98"/>
    </row>
    <row r="58" ht="12.75">
      <c r="A58" s="68" t="s">
        <v>261</v>
      </c>
    </row>
  </sheetData>
  <mergeCells count="15">
    <mergeCell ref="A5:D5"/>
    <mergeCell ref="A6:D6"/>
    <mergeCell ref="A7:D7"/>
    <mergeCell ref="C9:D9"/>
    <mergeCell ref="A9:B9"/>
    <mergeCell ref="A47:B47"/>
    <mergeCell ref="C47:D47"/>
    <mergeCell ref="A16:B16"/>
    <mergeCell ref="C16:D16"/>
    <mergeCell ref="A25:B25"/>
    <mergeCell ref="C25:D25"/>
    <mergeCell ref="A32:B32"/>
    <mergeCell ref="C32:D32"/>
    <mergeCell ref="A39:B39"/>
    <mergeCell ref="C39:D39"/>
  </mergeCells>
  <printOptions horizontalCentered="1"/>
  <pageMargins left="0.75" right="0.75" top="1" bottom="1" header="0" footer="0"/>
  <pageSetup horizontalDpi="300" verticalDpi="300" orientation="portrait" scale="90" r:id="rId1"/>
  <headerFooter alignWithMargins="0">
    <oddFooter>&amp;C108</oddFooter>
  </headerFooter>
</worksheet>
</file>

<file path=xl/worksheets/sheet88.xml><?xml version="1.0" encoding="utf-8"?>
<worksheet xmlns="http://schemas.openxmlformats.org/spreadsheetml/2006/main" xmlns:r="http://schemas.openxmlformats.org/officeDocument/2006/relationships">
  <dimension ref="A1:D35"/>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801</v>
      </c>
      <c r="B5" s="580"/>
      <c r="C5" s="580"/>
      <c r="D5" s="581"/>
    </row>
    <row r="6" spans="1:4" ht="15.75">
      <c r="A6" s="638" t="s">
        <v>263</v>
      </c>
      <c r="B6" s="638"/>
      <c r="C6" s="638"/>
      <c r="D6" s="638"/>
    </row>
    <row r="7" spans="1:4" ht="15.75">
      <c r="A7" s="639" t="s">
        <v>264</v>
      </c>
      <c r="B7" s="639"/>
      <c r="C7" s="639"/>
      <c r="D7" s="639"/>
    </row>
    <row r="8" spans="1:4" ht="12.75">
      <c r="A8" s="154"/>
      <c r="B8" s="34"/>
      <c r="C8" s="34"/>
      <c r="D8" s="34"/>
    </row>
    <row r="9" spans="1:4" ht="14.25">
      <c r="A9" s="628" t="s">
        <v>265</v>
      </c>
      <c r="B9" s="629"/>
      <c r="C9" s="628" t="s">
        <v>266</v>
      </c>
      <c r="D9" s="629"/>
    </row>
    <row r="10" spans="1:4" ht="12.75">
      <c r="A10" s="343" t="s">
        <v>75</v>
      </c>
      <c r="B10" s="343" t="s">
        <v>665</v>
      </c>
      <c r="C10" s="343" t="s">
        <v>75</v>
      </c>
      <c r="D10" s="343" t="s">
        <v>665</v>
      </c>
    </row>
    <row r="11" spans="1:4" ht="12.75">
      <c r="A11" s="445" t="s">
        <v>265</v>
      </c>
      <c r="B11" s="350">
        <v>1</v>
      </c>
      <c r="C11" s="445" t="s">
        <v>267</v>
      </c>
      <c r="D11" s="350">
        <v>0.5</v>
      </c>
    </row>
    <row r="12" spans="1:4" ht="12.75">
      <c r="A12" s="446"/>
      <c r="B12" s="347"/>
      <c r="C12" s="446" t="s">
        <v>266</v>
      </c>
      <c r="D12" s="347">
        <v>0.5</v>
      </c>
    </row>
    <row r="13" spans="1:4" s="269" customFormat="1" ht="12.75">
      <c r="A13" s="447"/>
      <c r="B13" s="397">
        <f>SUM(B11:B12)</f>
        <v>1</v>
      </c>
      <c r="C13" s="447"/>
      <c r="D13" s="397">
        <f>SUM(D11:D12)</f>
        <v>1</v>
      </c>
    </row>
    <row r="14" spans="1:4" ht="12.75">
      <c r="A14" s="101"/>
      <c r="B14" s="448"/>
      <c r="C14" s="449"/>
      <c r="D14" s="102"/>
    </row>
    <row r="15" spans="1:4" ht="12.75">
      <c r="A15" s="101"/>
      <c r="B15" s="448"/>
      <c r="C15" s="449"/>
      <c r="D15" s="102"/>
    </row>
    <row r="16" spans="1:4" ht="14.25">
      <c r="A16" s="628" t="s">
        <v>688</v>
      </c>
      <c r="B16" s="629"/>
      <c r="C16" s="628" t="s">
        <v>268</v>
      </c>
      <c r="D16" s="629"/>
    </row>
    <row r="17" spans="1:4" ht="12.75">
      <c r="A17" s="343" t="s">
        <v>75</v>
      </c>
      <c r="B17" s="343" t="s">
        <v>665</v>
      </c>
      <c r="C17" s="343" t="s">
        <v>75</v>
      </c>
      <c r="D17" s="343" t="s">
        <v>665</v>
      </c>
    </row>
    <row r="18" spans="1:4" ht="12.75">
      <c r="A18" s="445" t="s">
        <v>269</v>
      </c>
      <c r="B18" s="350">
        <v>0.9</v>
      </c>
      <c r="C18" s="446" t="s">
        <v>268</v>
      </c>
      <c r="D18" s="350">
        <v>1</v>
      </c>
    </row>
    <row r="19" spans="1:4" ht="12.75">
      <c r="A19" s="446" t="s">
        <v>270</v>
      </c>
      <c r="B19" s="347">
        <v>0.1</v>
      </c>
      <c r="C19" s="366"/>
      <c r="D19" s="345"/>
    </row>
    <row r="20" spans="1:4" ht="12.75">
      <c r="A20" s="366"/>
      <c r="B20" s="345"/>
      <c r="C20" s="366"/>
      <c r="D20" s="345"/>
    </row>
    <row r="21" spans="1:4" ht="12.75">
      <c r="A21" s="366"/>
      <c r="B21" s="345"/>
      <c r="C21" s="366"/>
      <c r="D21" s="345"/>
    </row>
    <row r="22" spans="1:4" ht="12.75">
      <c r="A22" s="366"/>
      <c r="B22" s="345"/>
      <c r="C22" s="366"/>
      <c r="D22" s="345"/>
    </row>
    <row r="23" spans="1:4" s="269" customFormat="1" ht="12.75">
      <c r="A23" s="447"/>
      <c r="B23" s="397">
        <f>SUM(B18:B21)</f>
        <v>1</v>
      </c>
      <c r="C23" s="447"/>
      <c r="D23" s="397">
        <f>SUM(D18:D21)</f>
        <v>1</v>
      </c>
    </row>
    <row r="24" spans="1:4" ht="12.75">
      <c r="A24" s="3"/>
      <c r="B24" s="3"/>
      <c r="C24" s="3"/>
      <c r="D24" s="416"/>
    </row>
    <row r="25" spans="1:4" ht="12.75">
      <c r="A25" s="3"/>
      <c r="B25" s="3"/>
      <c r="C25" s="3"/>
      <c r="D25" s="416"/>
    </row>
    <row r="26" spans="1:4" ht="14.25">
      <c r="A26" s="628" t="s">
        <v>271</v>
      </c>
      <c r="B26" s="629"/>
      <c r="C26" s="628" t="s">
        <v>272</v>
      </c>
      <c r="D26" s="629"/>
    </row>
    <row r="27" spans="1:4" ht="12.75">
      <c r="A27" s="343" t="s">
        <v>75</v>
      </c>
      <c r="B27" s="343" t="s">
        <v>665</v>
      </c>
      <c r="C27" s="343" t="s">
        <v>75</v>
      </c>
      <c r="D27" s="343" t="s">
        <v>665</v>
      </c>
    </row>
    <row r="28" spans="1:4" ht="12.75">
      <c r="A28" s="446" t="s">
        <v>273</v>
      </c>
      <c r="B28" s="347">
        <v>0.333</v>
      </c>
      <c r="C28" s="446" t="s">
        <v>274</v>
      </c>
      <c r="D28" s="347">
        <v>0.25</v>
      </c>
    </row>
    <row r="29" spans="1:4" ht="12.75">
      <c r="A29" s="446" t="s">
        <v>275</v>
      </c>
      <c r="B29" s="347">
        <v>0.333</v>
      </c>
      <c r="C29" s="446" t="s">
        <v>276</v>
      </c>
      <c r="D29" s="347">
        <v>0.166</v>
      </c>
    </row>
    <row r="30" spans="1:4" ht="12.75">
      <c r="A30" s="446" t="s">
        <v>277</v>
      </c>
      <c r="B30" s="347">
        <v>0.2</v>
      </c>
      <c r="C30" s="446" t="s">
        <v>278</v>
      </c>
      <c r="D30" s="347">
        <v>0.166</v>
      </c>
    </row>
    <row r="31" spans="1:4" ht="12.75">
      <c r="A31" s="446" t="s">
        <v>279</v>
      </c>
      <c r="B31" s="347">
        <v>0.133</v>
      </c>
      <c r="C31" s="446" t="s">
        <v>280</v>
      </c>
      <c r="D31" s="347">
        <v>0.166</v>
      </c>
    </row>
    <row r="32" spans="1:4" ht="12.75">
      <c r="A32" s="446" t="s">
        <v>733</v>
      </c>
      <c r="B32" s="347">
        <v>0.001</v>
      </c>
      <c r="C32" s="446" t="s">
        <v>281</v>
      </c>
      <c r="D32" s="347">
        <v>0.125</v>
      </c>
    </row>
    <row r="33" spans="1:4" ht="12.75">
      <c r="A33" s="447"/>
      <c r="B33" s="397"/>
      <c r="C33" s="446" t="s">
        <v>282</v>
      </c>
      <c r="D33" s="347">
        <v>0.125</v>
      </c>
    </row>
    <row r="34" spans="1:4" ht="12.75">
      <c r="A34" s="446"/>
      <c r="B34" s="347"/>
      <c r="C34" s="446" t="s">
        <v>733</v>
      </c>
      <c r="D34" s="347">
        <v>0.002</v>
      </c>
    </row>
    <row r="35" spans="1:4" ht="12.75">
      <c r="A35" s="446"/>
      <c r="B35" s="397">
        <f>SUM(B28:B34)</f>
        <v>1</v>
      </c>
      <c r="C35" s="446"/>
      <c r="D35" s="397">
        <f>SUM(D28:D34)</f>
        <v>1</v>
      </c>
    </row>
  </sheetData>
  <mergeCells count="9">
    <mergeCell ref="A26:B26"/>
    <mergeCell ref="A5:D5"/>
    <mergeCell ref="A6:D6"/>
    <mergeCell ref="A7:D7"/>
    <mergeCell ref="A9:B9"/>
    <mergeCell ref="C9:D9"/>
    <mergeCell ref="A16:B16"/>
    <mergeCell ref="C16:D16"/>
    <mergeCell ref="C26:D26"/>
  </mergeCells>
  <printOptions horizontalCentered="1"/>
  <pageMargins left="0.75" right="0.75" top="1" bottom="1" header="0" footer="0"/>
  <pageSetup horizontalDpi="300" verticalDpi="300" orientation="portrait" scale="90" r:id="rId1"/>
  <headerFooter alignWithMargins="0">
    <oddFooter>&amp;C109</oddFooter>
  </headerFooter>
</worksheet>
</file>

<file path=xl/worksheets/sheet89.xml><?xml version="1.0" encoding="utf-8"?>
<worksheet xmlns="http://schemas.openxmlformats.org/spreadsheetml/2006/main" xmlns:r="http://schemas.openxmlformats.org/officeDocument/2006/relationships">
  <dimension ref="A1:D33"/>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707</v>
      </c>
      <c r="B5" s="580"/>
      <c r="C5" s="580"/>
      <c r="D5" s="581"/>
    </row>
    <row r="6" spans="1:4" ht="15.75">
      <c r="A6" s="638" t="s">
        <v>263</v>
      </c>
      <c r="B6" s="638"/>
      <c r="C6" s="638"/>
      <c r="D6" s="638"/>
    </row>
    <row r="7" spans="1:4" ht="15.75">
      <c r="A7" s="639" t="s">
        <v>264</v>
      </c>
      <c r="B7" s="639"/>
      <c r="C7" s="639"/>
      <c r="D7" s="639"/>
    </row>
    <row r="8" spans="1:4" ht="12.75">
      <c r="A8" s="154"/>
      <c r="B8" s="34"/>
      <c r="C8" s="34"/>
      <c r="D8" s="34"/>
    </row>
    <row r="9" spans="1:4" ht="14.25">
      <c r="A9" s="628" t="s">
        <v>688</v>
      </c>
      <c r="B9" s="629"/>
      <c r="C9" s="628" t="s">
        <v>802</v>
      </c>
      <c r="D9" s="629"/>
    </row>
    <row r="10" spans="1:4" ht="12.75">
      <c r="A10" s="343" t="s">
        <v>75</v>
      </c>
      <c r="B10" s="343" t="s">
        <v>665</v>
      </c>
      <c r="C10" s="343" t="s">
        <v>75</v>
      </c>
      <c r="D10" s="343" t="s">
        <v>665</v>
      </c>
    </row>
    <row r="11" spans="1:4" ht="12.75">
      <c r="A11" s="344" t="s">
        <v>283</v>
      </c>
      <c r="B11" s="345">
        <v>0.5436</v>
      </c>
      <c r="C11" s="344" t="s">
        <v>284</v>
      </c>
      <c r="D11" s="350">
        <v>0.295</v>
      </c>
    </row>
    <row r="12" spans="1:4" ht="12.75">
      <c r="A12" s="348" t="s">
        <v>36</v>
      </c>
      <c r="B12" s="345">
        <v>0.2485</v>
      </c>
      <c r="C12" s="344" t="s">
        <v>285</v>
      </c>
      <c r="D12" s="347">
        <v>0.295</v>
      </c>
    </row>
    <row r="13" spans="1:4" ht="12.75">
      <c r="A13" s="348" t="s">
        <v>125</v>
      </c>
      <c r="B13" s="345">
        <v>0.1587</v>
      </c>
      <c r="C13" s="344" t="s">
        <v>286</v>
      </c>
      <c r="D13" s="350">
        <v>0.2</v>
      </c>
    </row>
    <row r="14" spans="1:4" ht="12.75">
      <c r="A14" s="348" t="s">
        <v>287</v>
      </c>
      <c r="B14" s="345">
        <v>0.0491</v>
      </c>
      <c r="C14" s="344" t="s">
        <v>288</v>
      </c>
      <c r="D14" s="345">
        <v>0.107</v>
      </c>
    </row>
    <row r="15" spans="1:4" ht="12.75">
      <c r="A15" s="348" t="s">
        <v>289</v>
      </c>
      <c r="B15" s="345">
        <v>0.0001</v>
      </c>
      <c r="C15" s="344" t="s">
        <v>290</v>
      </c>
      <c r="D15" s="345">
        <v>0.0311</v>
      </c>
    </row>
    <row r="16" spans="1:4" ht="12.75">
      <c r="A16" s="351"/>
      <c r="B16" s="450"/>
      <c r="C16" s="344" t="s">
        <v>733</v>
      </c>
      <c r="D16" s="345">
        <v>0.0719</v>
      </c>
    </row>
    <row r="17" spans="1:4" s="269" customFormat="1" ht="12.75">
      <c r="A17" s="353"/>
      <c r="B17" s="354">
        <f>SUM(B11:B16)</f>
        <v>1.0000000000000002</v>
      </c>
      <c r="C17" s="355"/>
      <c r="D17" s="354">
        <f>SUM(D11:D16)</f>
        <v>1</v>
      </c>
    </row>
    <row r="18" spans="1:4" ht="12.75">
      <c r="A18" s="34"/>
      <c r="B18" s="34"/>
      <c r="C18" s="34"/>
      <c r="D18" s="98"/>
    </row>
    <row r="19" spans="1:4" ht="12.75">
      <c r="A19" s="34"/>
      <c r="B19" s="34"/>
      <c r="C19" s="34"/>
      <c r="D19" s="98"/>
    </row>
    <row r="20" spans="1:4" ht="14.25">
      <c r="A20" s="628" t="s">
        <v>697</v>
      </c>
      <c r="B20" s="629"/>
      <c r="C20" s="628" t="s">
        <v>828</v>
      </c>
      <c r="D20" s="629"/>
    </row>
    <row r="21" spans="1:4" ht="12.75">
      <c r="A21" s="343" t="s">
        <v>75</v>
      </c>
      <c r="B21" s="343" t="s">
        <v>665</v>
      </c>
      <c r="C21" s="343" t="s">
        <v>75</v>
      </c>
      <c r="D21" s="343" t="s">
        <v>665</v>
      </c>
    </row>
    <row r="22" spans="1:4" ht="12.75">
      <c r="A22" s="366" t="s">
        <v>291</v>
      </c>
      <c r="B22" s="345">
        <v>0.4215</v>
      </c>
      <c r="C22" s="344" t="s">
        <v>292</v>
      </c>
      <c r="D22" s="345">
        <v>0.9997</v>
      </c>
    </row>
    <row r="23" spans="1:4" ht="12.75">
      <c r="A23" s="366" t="s">
        <v>293</v>
      </c>
      <c r="B23" s="345">
        <v>0.1917</v>
      </c>
      <c r="C23" s="348" t="s">
        <v>733</v>
      </c>
      <c r="D23" s="350">
        <v>0.0003</v>
      </c>
    </row>
    <row r="24" spans="1:4" ht="12.75">
      <c r="A24" s="366" t="s">
        <v>294</v>
      </c>
      <c r="B24" s="345">
        <v>0.1539</v>
      </c>
      <c r="C24" s="348"/>
      <c r="D24" s="345"/>
    </row>
    <row r="25" spans="1:4" ht="12.75">
      <c r="A25" s="366" t="s">
        <v>295</v>
      </c>
      <c r="B25" s="345">
        <v>0.1155</v>
      </c>
      <c r="C25" s="348"/>
      <c r="D25" s="345"/>
    </row>
    <row r="26" spans="1:4" ht="12.75">
      <c r="A26" s="366" t="s">
        <v>296</v>
      </c>
      <c r="B26" s="345">
        <v>0.0456</v>
      </c>
      <c r="C26" s="348"/>
      <c r="D26" s="345"/>
    </row>
    <row r="27" spans="1:4" ht="12.75">
      <c r="A27" s="366" t="s">
        <v>297</v>
      </c>
      <c r="B27" s="345">
        <v>0.0246</v>
      </c>
      <c r="C27" s="348"/>
      <c r="D27" s="345"/>
    </row>
    <row r="28" spans="1:4" ht="12.75">
      <c r="A28" s="366" t="s">
        <v>298</v>
      </c>
      <c r="B28" s="345">
        <v>0.0203</v>
      </c>
      <c r="C28" s="348"/>
      <c r="D28" s="345"/>
    </row>
    <row r="29" spans="1:4" ht="12.75">
      <c r="A29" s="366" t="s">
        <v>299</v>
      </c>
      <c r="B29" s="345">
        <v>0.0186</v>
      </c>
      <c r="C29" s="348"/>
      <c r="D29" s="345"/>
    </row>
    <row r="30" spans="1:4" ht="12.75">
      <c r="A30" s="366" t="s">
        <v>733</v>
      </c>
      <c r="B30" s="345">
        <v>0.0083</v>
      </c>
      <c r="C30" s="348"/>
      <c r="D30" s="345"/>
    </row>
    <row r="31" spans="1:4" s="269" customFormat="1" ht="12.75">
      <c r="A31" s="353"/>
      <c r="B31" s="354">
        <f>SUM(B22:B30)</f>
        <v>0.9999999999999999</v>
      </c>
      <c r="C31" s="355"/>
      <c r="D31" s="354">
        <f>SUM(D22:D30)</f>
        <v>1</v>
      </c>
    </row>
    <row r="32" spans="1:4" ht="12.75">
      <c r="A32" s="3"/>
      <c r="B32" s="416"/>
      <c r="C32" s="3"/>
      <c r="D32" s="416"/>
    </row>
    <row r="33" spans="1:4" ht="12.75">
      <c r="A33" s="69" t="s">
        <v>870</v>
      </c>
      <c r="B33" s="34"/>
      <c r="C33" s="34"/>
      <c r="D33" s="34"/>
    </row>
  </sheetData>
  <mergeCells count="7">
    <mergeCell ref="A20:B20"/>
    <mergeCell ref="C20:D20"/>
    <mergeCell ref="A5:D5"/>
    <mergeCell ref="A6:D6"/>
    <mergeCell ref="A7:D7"/>
    <mergeCell ref="A9:B9"/>
    <mergeCell ref="C9:D9"/>
  </mergeCells>
  <printOptions horizontalCentered="1"/>
  <pageMargins left="0.75" right="0.75" top="1" bottom="1" header="0" footer="0"/>
  <pageSetup horizontalDpi="300" verticalDpi="300" orientation="portrait" scale="90" r:id="rId1"/>
  <headerFooter alignWithMargins="0">
    <oddFooter>&amp;C110</oddFooter>
  </headerFooter>
</worksheet>
</file>

<file path=xl/worksheets/sheet9.xml><?xml version="1.0" encoding="utf-8"?>
<worksheet xmlns="http://schemas.openxmlformats.org/spreadsheetml/2006/main" xmlns:r="http://schemas.openxmlformats.org/officeDocument/2006/relationships">
  <dimension ref="A1:T53"/>
  <sheetViews>
    <sheetView workbookViewId="0" topLeftCell="A1">
      <selection activeCell="A5" sqref="A5:F5"/>
    </sheetView>
  </sheetViews>
  <sheetFormatPr defaultColWidth="11.421875" defaultRowHeight="12.75"/>
  <cols>
    <col min="1" max="1" width="20.8515625" style="0" customWidth="1"/>
    <col min="2" max="2" width="18.8515625" style="0" customWidth="1"/>
    <col min="3" max="3" width="15.28125" style="0" customWidth="1"/>
    <col min="4" max="4" width="18.8515625" style="0" customWidth="1"/>
    <col min="5" max="6" width="15.28125" style="0" customWidth="1"/>
    <col min="8" max="8" width="6.8515625" style="0" customWidth="1"/>
    <col min="9" max="9" width="11.140625" style="0" bestFit="1" customWidth="1"/>
    <col min="11" max="11" width="11.140625" style="0" bestFit="1" customWidth="1"/>
  </cols>
  <sheetData>
    <row r="1" spans="1:6" ht="12.75">
      <c r="A1" s="1" t="s">
        <v>658</v>
      </c>
      <c r="B1" s="1"/>
      <c r="C1" s="1"/>
      <c r="D1" s="1"/>
      <c r="E1" s="3"/>
      <c r="F1" s="4"/>
    </row>
    <row r="2" spans="1:6" ht="12.75">
      <c r="A2" s="1" t="s">
        <v>659</v>
      </c>
      <c r="B2" s="1"/>
      <c r="C2" s="1"/>
      <c r="D2" s="1"/>
      <c r="E2" s="3"/>
      <c r="F2" s="4"/>
    </row>
    <row r="3" spans="1:6" ht="12.75">
      <c r="A3" s="1"/>
      <c r="B3" s="1"/>
      <c r="C3" s="1"/>
      <c r="D3" s="1"/>
      <c r="E3" s="3"/>
      <c r="F3" s="4"/>
    </row>
    <row r="4" spans="1:6" ht="13.5" thickBot="1">
      <c r="A4" s="1"/>
      <c r="B4" s="1"/>
      <c r="C4" s="1"/>
      <c r="D4" s="1"/>
      <c r="E4" s="3"/>
      <c r="F4" s="4"/>
    </row>
    <row r="5" spans="1:6" ht="18">
      <c r="A5" s="522" t="s">
        <v>675</v>
      </c>
      <c r="B5" s="523"/>
      <c r="C5" s="523"/>
      <c r="D5" s="523"/>
      <c r="E5" s="523"/>
      <c r="F5" s="524"/>
    </row>
    <row r="6" spans="1:6" ht="18.75" thickBot="1">
      <c r="A6" s="516" t="s">
        <v>906</v>
      </c>
      <c r="B6" s="517"/>
      <c r="C6" s="517"/>
      <c r="D6" s="517"/>
      <c r="E6" s="517"/>
      <c r="F6" s="518"/>
    </row>
    <row r="7" spans="1:6" ht="15.75">
      <c r="A7" s="510" t="s">
        <v>980</v>
      </c>
      <c r="B7" s="510"/>
      <c r="C7" s="510"/>
      <c r="D7" s="510"/>
      <c r="E7" s="510"/>
      <c r="F7" s="510"/>
    </row>
    <row r="8" spans="1:6" ht="15.75">
      <c r="A8" s="511" t="s">
        <v>981</v>
      </c>
      <c r="B8" s="511"/>
      <c r="C8" s="511"/>
      <c r="D8" s="511"/>
      <c r="E8" s="511"/>
      <c r="F8" s="511"/>
    </row>
    <row r="9" spans="1:6" ht="15">
      <c r="A9" s="22"/>
      <c r="B9" s="2"/>
      <c r="C9" s="2"/>
      <c r="D9" s="2"/>
      <c r="E9" s="5"/>
      <c r="F9" s="5"/>
    </row>
    <row r="10" spans="1:6" ht="14.25">
      <c r="A10" s="7" t="s">
        <v>877</v>
      </c>
      <c r="B10" s="7" t="s">
        <v>735</v>
      </c>
      <c r="C10" s="7" t="s">
        <v>712</v>
      </c>
      <c r="D10" s="7" t="s">
        <v>735</v>
      </c>
      <c r="E10" s="7" t="s">
        <v>712</v>
      </c>
      <c r="F10" s="7" t="s">
        <v>713</v>
      </c>
    </row>
    <row r="11" spans="1:12" ht="15">
      <c r="A11" s="23" t="s">
        <v>714</v>
      </c>
      <c r="B11" s="23" t="s">
        <v>736</v>
      </c>
      <c r="C11" s="24" t="s">
        <v>715</v>
      </c>
      <c r="D11" s="23" t="s">
        <v>736</v>
      </c>
      <c r="E11" s="24" t="s">
        <v>715</v>
      </c>
      <c r="F11" s="159" t="s">
        <v>884</v>
      </c>
      <c r="I11">
        <v>2002</v>
      </c>
      <c r="J11">
        <v>3.535</v>
      </c>
      <c r="K11">
        <v>2001</v>
      </c>
      <c r="L11">
        <v>2.33</v>
      </c>
    </row>
    <row r="12" spans="1:20" ht="15">
      <c r="A12" s="9"/>
      <c r="B12" s="122" t="s">
        <v>979</v>
      </c>
      <c r="C12" s="9" t="s">
        <v>716</v>
      </c>
      <c r="D12" s="26" t="s">
        <v>921</v>
      </c>
      <c r="E12" s="9" t="s">
        <v>716</v>
      </c>
      <c r="F12" s="26"/>
      <c r="I12" t="s">
        <v>820</v>
      </c>
      <c r="J12" t="s">
        <v>821</v>
      </c>
      <c r="K12" t="s">
        <v>820</v>
      </c>
      <c r="L12" t="s">
        <v>821</v>
      </c>
      <c r="R12">
        <v>26352</v>
      </c>
      <c r="S12" s="36" t="e">
        <f>+R12/$M$11</f>
        <v>#DIV/0!</v>
      </c>
      <c r="T12">
        <v>1990</v>
      </c>
    </row>
    <row r="13" spans="1:19" ht="9.75" customHeight="1">
      <c r="A13" s="104"/>
      <c r="B13" s="55"/>
      <c r="C13" s="104"/>
      <c r="D13" s="60"/>
      <c r="E13" s="104"/>
      <c r="F13" s="60"/>
      <c r="S13" s="36"/>
    </row>
    <row r="14" spans="1:20" ht="15">
      <c r="A14" s="29" t="s">
        <v>718</v>
      </c>
      <c r="B14" s="11">
        <f>+J14</f>
        <v>12294191.79632249</v>
      </c>
      <c r="C14" s="12">
        <f aca="true" t="shared" si="0" ref="C14:C34">+B14/$B$36</f>
        <v>0.2579259972498516</v>
      </c>
      <c r="D14" s="131">
        <f>+L14</f>
        <v>16411212.017167382</v>
      </c>
      <c r="E14" s="12">
        <f aca="true" t="shared" si="1" ref="E14:E27">+D14/$D$36</f>
        <v>0.24737131150567737</v>
      </c>
      <c r="F14" s="12">
        <f aca="true" t="shared" si="2" ref="F14:F34">+(B14-D14)/D14</f>
        <v>-0.2508663111864118</v>
      </c>
      <c r="I14" s="11">
        <v>43459968</v>
      </c>
      <c r="J14" s="36">
        <f aca="true" t="shared" si="3" ref="J14:J34">+I14/$J$11</f>
        <v>12294191.79632249</v>
      </c>
      <c r="K14" s="131">
        <v>38238124</v>
      </c>
      <c r="L14" s="36">
        <f aca="true" t="shared" si="4" ref="L14:L33">K14/$L$11</f>
        <v>16411212.017167382</v>
      </c>
      <c r="M14" s="36"/>
      <c r="O14" s="36"/>
      <c r="P14" s="36"/>
      <c r="R14">
        <v>36812</v>
      </c>
      <c r="S14" s="36" t="e">
        <f aca="true" t="shared" si="5" ref="S14:S23">+R14/$M$11</f>
        <v>#DIV/0!</v>
      </c>
      <c r="T14">
        <v>1991</v>
      </c>
    </row>
    <row r="15" spans="1:20" ht="15">
      <c r="A15" s="29" t="s">
        <v>721</v>
      </c>
      <c r="B15" s="11">
        <f aca="true" t="shared" si="6" ref="B15:B34">+J15</f>
        <v>5263790.947666195</v>
      </c>
      <c r="C15" s="12">
        <f t="shared" si="0"/>
        <v>0.1104317023830439</v>
      </c>
      <c r="D15" s="131">
        <f aca="true" t="shared" si="7" ref="D15:D34">+L15</f>
        <v>7219184.120171674</v>
      </c>
      <c r="E15" s="12">
        <f t="shared" si="1"/>
        <v>0.1088170113176116</v>
      </c>
      <c r="F15" s="12">
        <f t="shared" si="2"/>
        <v>-0.2708606872959182</v>
      </c>
      <c r="I15" s="11">
        <v>18607501</v>
      </c>
      <c r="J15" s="36">
        <f t="shared" si="3"/>
        <v>5263790.947666195</v>
      </c>
      <c r="K15" s="131">
        <v>16820699</v>
      </c>
      <c r="L15" s="36">
        <f t="shared" si="4"/>
        <v>7219184.120171674</v>
      </c>
      <c r="M15" s="36"/>
      <c r="O15" s="36"/>
      <c r="P15" s="36"/>
      <c r="R15">
        <v>43269</v>
      </c>
      <c r="S15" s="36" t="e">
        <f t="shared" si="5"/>
        <v>#DIV/0!</v>
      </c>
      <c r="T15">
        <v>1992</v>
      </c>
    </row>
    <row r="16" spans="1:20" ht="15">
      <c r="A16" s="29" t="s">
        <v>720</v>
      </c>
      <c r="B16" s="11">
        <f>+J16</f>
        <v>2649670.72135785</v>
      </c>
      <c r="C16" s="12">
        <f t="shared" si="0"/>
        <v>0.05558876699763098</v>
      </c>
      <c r="D16" s="131">
        <f>+L16</f>
        <v>3626198.712446352</v>
      </c>
      <c r="E16" s="12">
        <f t="shared" si="1"/>
        <v>0.054658822903494504</v>
      </c>
      <c r="F16" s="12">
        <f>+(B16-D16)/D16</f>
        <v>-0.26929798075784556</v>
      </c>
      <c r="I16" s="11">
        <v>9366586</v>
      </c>
      <c r="J16" s="36">
        <f>+I16/$J$11</f>
        <v>2649670.72135785</v>
      </c>
      <c r="K16" s="131">
        <v>8449043</v>
      </c>
      <c r="L16" s="36">
        <f>K16/$L$11</f>
        <v>3626198.712446352</v>
      </c>
      <c r="M16" s="36"/>
      <c r="O16" s="36"/>
      <c r="P16" s="36"/>
      <c r="R16">
        <v>72742</v>
      </c>
      <c r="S16" s="36" t="e">
        <f>+R16/$M$11</f>
        <v>#DIV/0!</v>
      </c>
      <c r="T16">
        <v>1994</v>
      </c>
    </row>
    <row r="17" spans="1:20" ht="15">
      <c r="A17" s="29" t="s">
        <v>719</v>
      </c>
      <c r="B17" s="11">
        <f t="shared" si="6"/>
        <v>2602748.797736916</v>
      </c>
      <c r="C17" s="12">
        <f t="shared" si="0"/>
        <v>0.05460436849927416</v>
      </c>
      <c r="D17" s="131">
        <f t="shared" si="7"/>
        <v>4015434.763948498</v>
      </c>
      <c r="E17" s="12">
        <f t="shared" si="1"/>
        <v>0.06052589917090576</v>
      </c>
      <c r="F17" s="12">
        <f t="shared" si="2"/>
        <v>-0.3518139502339829</v>
      </c>
      <c r="I17" s="11">
        <v>9200717</v>
      </c>
      <c r="J17" s="36">
        <f t="shared" si="3"/>
        <v>2602748.797736916</v>
      </c>
      <c r="K17" s="131">
        <v>9355963</v>
      </c>
      <c r="L17" s="36">
        <f t="shared" si="4"/>
        <v>4015434.763948498</v>
      </c>
      <c r="M17" s="36"/>
      <c r="O17" s="36"/>
      <c r="P17" s="36"/>
      <c r="R17">
        <v>59959</v>
      </c>
      <c r="S17" s="36" t="e">
        <f t="shared" si="5"/>
        <v>#DIV/0!</v>
      </c>
      <c r="T17">
        <v>1993</v>
      </c>
    </row>
    <row r="18" spans="1:20" ht="15">
      <c r="A18" s="29" t="s">
        <v>907</v>
      </c>
      <c r="B18" s="11">
        <f t="shared" si="6"/>
        <v>1876334.0876944836</v>
      </c>
      <c r="C18" s="12">
        <f t="shared" si="0"/>
        <v>0.03936455106282414</v>
      </c>
      <c r="D18" s="131">
        <f t="shared" si="7"/>
        <v>2338295.278969957</v>
      </c>
      <c r="E18" s="12">
        <f t="shared" si="1"/>
        <v>0.035245853215548795</v>
      </c>
      <c r="F18" s="12">
        <f t="shared" si="2"/>
        <v>-0.19756323995101768</v>
      </c>
      <c r="I18" s="11">
        <v>6632841</v>
      </c>
      <c r="J18" s="36">
        <f t="shared" si="3"/>
        <v>1876334.0876944836</v>
      </c>
      <c r="K18" s="131">
        <v>5448228</v>
      </c>
      <c r="L18" s="36">
        <f t="shared" si="4"/>
        <v>2338295.278969957</v>
      </c>
      <c r="M18" s="36"/>
      <c r="O18" s="36"/>
      <c r="P18" s="36"/>
      <c r="R18">
        <v>74815</v>
      </c>
      <c r="S18" s="36" t="e">
        <f t="shared" si="5"/>
        <v>#DIV/0!</v>
      </c>
      <c r="T18">
        <v>1995</v>
      </c>
    </row>
    <row r="19" spans="1:20" ht="15">
      <c r="A19" s="29" t="s">
        <v>722</v>
      </c>
      <c r="B19" s="11">
        <f t="shared" si="6"/>
        <v>1169425.459688826</v>
      </c>
      <c r="C19" s="12">
        <f t="shared" si="0"/>
        <v>0.024533961475192743</v>
      </c>
      <c r="D19" s="131">
        <f t="shared" si="7"/>
        <v>1649108.583690987</v>
      </c>
      <c r="E19" s="12">
        <f t="shared" si="1"/>
        <v>0.02485752744746524</v>
      </c>
      <c r="F19" s="12">
        <f t="shared" si="2"/>
        <v>-0.29087419030258643</v>
      </c>
      <c r="I19" s="11">
        <v>4133919</v>
      </c>
      <c r="J19" s="36">
        <f t="shared" si="3"/>
        <v>1169425.459688826</v>
      </c>
      <c r="K19" s="131">
        <v>3842423</v>
      </c>
      <c r="L19" s="36">
        <f t="shared" si="4"/>
        <v>1649108.583690987</v>
      </c>
      <c r="M19" s="36"/>
      <c r="O19" s="36"/>
      <c r="P19" s="36"/>
      <c r="R19">
        <v>86629</v>
      </c>
      <c r="S19" s="36" t="e">
        <f t="shared" si="5"/>
        <v>#DIV/0!</v>
      </c>
      <c r="T19">
        <v>1996</v>
      </c>
    </row>
    <row r="20" spans="1:20" ht="15">
      <c r="A20" s="29" t="s">
        <v>724</v>
      </c>
      <c r="B20" s="11">
        <f t="shared" si="6"/>
        <v>1130992.3620933522</v>
      </c>
      <c r="C20" s="12">
        <f t="shared" si="0"/>
        <v>0.023727654302753913</v>
      </c>
      <c r="D20" s="131">
        <f t="shared" si="7"/>
        <v>1581396.1373390558</v>
      </c>
      <c r="E20" s="12">
        <f t="shared" si="1"/>
        <v>0.023836876648376595</v>
      </c>
      <c r="F20" s="12">
        <f>+(B20-D20)/D20</f>
        <v>-0.2848140099820768</v>
      </c>
      <c r="I20" s="11">
        <v>3998058</v>
      </c>
      <c r="J20" s="36">
        <f>+I20/$J$11</f>
        <v>1130992.3620933522</v>
      </c>
      <c r="K20" s="131">
        <v>3684653</v>
      </c>
      <c r="L20" s="36">
        <f>K20/$L$11</f>
        <v>1581396.1373390558</v>
      </c>
      <c r="M20" s="36"/>
      <c r="O20" s="36"/>
      <c r="P20" s="36"/>
      <c r="R20">
        <v>101129</v>
      </c>
      <c r="S20" s="36" t="e">
        <f>+R20/$M$11</f>
        <v>#DIV/0!</v>
      </c>
      <c r="T20">
        <v>1998</v>
      </c>
    </row>
    <row r="21" spans="1:20" ht="15">
      <c r="A21" s="28" t="s">
        <v>723</v>
      </c>
      <c r="B21" s="11">
        <f t="shared" si="6"/>
        <v>1130648.939179632</v>
      </c>
      <c r="C21" s="12">
        <f t="shared" si="0"/>
        <v>0.023720449461722703</v>
      </c>
      <c r="D21" s="131">
        <f t="shared" si="7"/>
        <v>1588350.2145922747</v>
      </c>
      <c r="E21" s="12">
        <f t="shared" si="1"/>
        <v>0.02394169762129688</v>
      </c>
      <c r="F21" s="12">
        <f t="shared" si="2"/>
        <v>-0.28816143392541005</v>
      </c>
      <c r="I21" s="11">
        <v>3996844</v>
      </c>
      <c r="J21" s="36">
        <f t="shared" si="3"/>
        <v>1130648.939179632</v>
      </c>
      <c r="K21" s="131">
        <v>3700856</v>
      </c>
      <c r="L21" s="36">
        <f t="shared" si="4"/>
        <v>1588350.2145922747</v>
      </c>
      <c r="M21" s="36"/>
      <c r="O21" s="36"/>
      <c r="P21" s="36"/>
      <c r="R21">
        <v>101033</v>
      </c>
      <c r="S21" s="36" t="e">
        <f t="shared" si="5"/>
        <v>#DIV/0!</v>
      </c>
      <c r="T21">
        <v>1997</v>
      </c>
    </row>
    <row r="22" spans="1:20" ht="15">
      <c r="A22" s="29" t="s">
        <v>725</v>
      </c>
      <c r="B22" s="11">
        <f t="shared" si="6"/>
        <v>1080446.9589816125</v>
      </c>
      <c r="C22" s="12">
        <f t="shared" si="0"/>
        <v>0.022667237016284467</v>
      </c>
      <c r="D22" s="131">
        <f t="shared" si="7"/>
        <v>1106813.7339055794</v>
      </c>
      <c r="E22" s="12">
        <f t="shared" si="1"/>
        <v>0.01668334822938791</v>
      </c>
      <c r="F22" s="12">
        <f t="shared" si="2"/>
        <v>-0.023822233241475366</v>
      </c>
      <c r="I22" s="11">
        <v>3819380</v>
      </c>
      <c r="J22" s="36">
        <f t="shared" si="3"/>
        <v>1080446.9589816125</v>
      </c>
      <c r="K22" s="131">
        <v>2578876</v>
      </c>
      <c r="L22" s="36">
        <f t="shared" si="4"/>
        <v>1106813.7339055794</v>
      </c>
      <c r="M22" s="36"/>
      <c r="O22" s="36"/>
      <c r="P22" s="36"/>
      <c r="R22">
        <v>125995</v>
      </c>
      <c r="S22" s="36" t="e">
        <f t="shared" si="5"/>
        <v>#DIV/0!</v>
      </c>
      <c r="T22">
        <v>1999</v>
      </c>
    </row>
    <row r="23" spans="1:20" ht="15">
      <c r="A23" s="29" t="s">
        <v>726</v>
      </c>
      <c r="B23" s="11">
        <f t="shared" si="6"/>
        <v>650686.8458274399</v>
      </c>
      <c r="C23" s="12">
        <f t="shared" si="0"/>
        <v>0.013651084706324894</v>
      </c>
      <c r="D23" s="131">
        <f t="shared" si="7"/>
        <v>849427.8969957081</v>
      </c>
      <c r="E23" s="12">
        <f t="shared" si="1"/>
        <v>0.012803691323317979</v>
      </c>
      <c r="F23" s="12">
        <f t="shared" si="2"/>
        <v>-0.2339704780961207</v>
      </c>
      <c r="I23" s="11">
        <v>2300178</v>
      </c>
      <c r="J23" s="36">
        <f t="shared" si="3"/>
        <v>650686.8458274399</v>
      </c>
      <c r="K23" s="131">
        <v>1979167</v>
      </c>
      <c r="L23" s="36">
        <f t="shared" si="4"/>
        <v>849427.8969957081</v>
      </c>
      <c r="M23" s="36"/>
      <c r="O23" s="36"/>
      <c r="P23" s="36"/>
      <c r="R23">
        <v>131430</v>
      </c>
      <c r="S23" s="36" t="e">
        <f t="shared" si="5"/>
        <v>#DIV/0!</v>
      </c>
      <c r="T23">
        <v>2000</v>
      </c>
    </row>
    <row r="24" spans="1:16" ht="15">
      <c r="A24" s="29" t="s">
        <v>730</v>
      </c>
      <c r="B24" s="11">
        <f t="shared" si="6"/>
        <v>627058.5572842999</v>
      </c>
      <c r="C24" s="12">
        <f t="shared" si="0"/>
        <v>0.013155375025952116</v>
      </c>
      <c r="D24" s="131">
        <f t="shared" si="7"/>
        <v>822337.339055794</v>
      </c>
      <c r="E24" s="12">
        <f t="shared" si="1"/>
        <v>0.012395346903661045</v>
      </c>
      <c r="F24" s="12">
        <f t="shared" si="2"/>
        <v>-0.23746797390437455</v>
      </c>
      <c r="I24" s="11">
        <v>2216652</v>
      </c>
      <c r="J24" s="36">
        <f t="shared" si="3"/>
        <v>627058.5572842999</v>
      </c>
      <c r="K24" s="131">
        <v>1916046</v>
      </c>
      <c r="L24" s="36">
        <f t="shared" si="4"/>
        <v>822337.339055794</v>
      </c>
      <c r="M24" s="36"/>
      <c r="O24" s="36"/>
      <c r="P24" s="36"/>
    </row>
    <row r="25" spans="1:16" ht="15">
      <c r="A25" s="29" t="s">
        <v>728</v>
      </c>
      <c r="B25" s="11">
        <f t="shared" si="6"/>
        <v>541533.521923621</v>
      </c>
      <c r="C25" s="12">
        <f t="shared" si="0"/>
        <v>0.011361102543410368</v>
      </c>
      <c r="D25" s="131">
        <f t="shared" si="7"/>
        <v>777134.3347639485</v>
      </c>
      <c r="E25" s="12">
        <f t="shared" si="1"/>
        <v>0.01171398793736572</v>
      </c>
      <c r="F25" s="12">
        <f t="shared" si="2"/>
        <v>-0.30316613524982183</v>
      </c>
      <c r="I25" s="11">
        <v>1914321</v>
      </c>
      <c r="J25" s="36">
        <f t="shared" si="3"/>
        <v>541533.521923621</v>
      </c>
      <c r="K25" s="131">
        <v>1810723</v>
      </c>
      <c r="L25" s="36">
        <f t="shared" si="4"/>
        <v>777134.3347639485</v>
      </c>
      <c r="M25" s="36"/>
      <c r="O25" s="36"/>
      <c r="P25" s="36"/>
    </row>
    <row r="26" spans="1:16" ht="15">
      <c r="A26" s="29" t="s">
        <v>729</v>
      </c>
      <c r="B26" s="11">
        <f t="shared" si="6"/>
        <v>531962.6591230552</v>
      </c>
      <c r="C26" s="12">
        <f t="shared" si="0"/>
        <v>0.01116031062692865</v>
      </c>
      <c r="D26" s="131">
        <f t="shared" si="7"/>
        <v>722263.0901287553</v>
      </c>
      <c r="E26" s="12">
        <f t="shared" si="1"/>
        <v>0.010886896572318604</v>
      </c>
      <c r="F26" s="12">
        <f t="shared" si="2"/>
        <v>-0.2634779952160866</v>
      </c>
      <c r="I26" s="11">
        <v>1880488</v>
      </c>
      <c r="J26" s="36">
        <f t="shared" si="3"/>
        <v>531962.6591230552</v>
      </c>
      <c r="K26" s="131">
        <v>1682873</v>
      </c>
      <c r="L26" s="36">
        <f t="shared" si="4"/>
        <v>722263.0901287553</v>
      </c>
      <c r="M26" s="36"/>
      <c r="O26" s="36"/>
      <c r="P26" s="36"/>
    </row>
    <row r="27" spans="1:16" ht="15">
      <c r="A27" s="29" t="s">
        <v>1047</v>
      </c>
      <c r="B27" s="11">
        <f t="shared" si="6"/>
        <v>480034.51202263084</v>
      </c>
      <c r="C27" s="12">
        <f t="shared" si="0"/>
        <v>0.01007088406289698</v>
      </c>
      <c r="D27" s="131">
        <f t="shared" si="7"/>
        <v>437017.1673819742</v>
      </c>
      <c r="E27" s="12">
        <f t="shared" si="1"/>
        <v>0.006587295912860578</v>
      </c>
      <c r="F27" s="12">
        <f t="shared" si="2"/>
        <v>0.09843399264692354</v>
      </c>
      <c r="I27" s="11">
        <v>1696922</v>
      </c>
      <c r="J27" s="36">
        <f t="shared" si="3"/>
        <v>480034.51202263084</v>
      </c>
      <c r="K27" s="131">
        <v>1018250</v>
      </c>
      <c r="L27" s="36">
        <f t="shared" si="4"/>
        <v>437017.1673819742</v>
      </c>
      <c r="M27" s="36"/>
      <c r="O27" s="36"/>
      <c r="P27" s="36"/>
    </row>
    <row r="28" spans="1:16" ht="15">
      <c r="A28" s="29" t="s">
        <v>844</v>
      </c>
      <c r="B28" s="11">
        <f t="shared" si="6"/>
        <v>452546.81753889675</v>
      </c>
      <c r="C28" s="12">
        <f t="shared" si="0"/>
        <v>0.00949420597544945</v>
      </c>
      <c r="D28" s="131">
        <f t="shared" si="7"/>
        <v>604648.9270386266</v>
      </c>
      <c r="E28" s="12">
        <f aca="true" t="shared" si="8" ref="E28:E34">+D28/$D$36</f>
        <v>0.00911406165038762</v>
      </c>
      <c r="F28" s="12">
        <f t="shared" si="2"/>
        <v>-0.25155441893310954</v>
      </c>
      <c r="I28" s="11">
        <v>1599753</v>
      </c>
      <c r="J28" s="36">
        <f t="shared" si="3"/>
        <v>452546.81753889675</v>
      </c>
      <c r="K28" s="131">
        <v>1408832</v>
      </c>
      <c r="L28" s="36">
        <f t="shared" si="4"/>
        <v>604648.9270386266</v>
      </c>
      <c r="M28" s="36"/>
      <c r="O28" s="36"/>
      <c r="P28" s="36"/>
    </row>
    <row r="29" spans="1:16" ht="15">
      <c r="A29" s="29" t="s">
        <v>732</v>
      </c>
      <c r="B29" s="11">
        <f t="shared" si="6"/>
        <v>394908.91089108906</v>
      </c>
      <c r="C29" s="12">
        <f t="shared" si="0"/>
        <v>0.008284991510780325</v>
      </c>
      <c r="D29" s="131">
        <f t="shared" si="7"/>
        <v>585545.4935622318</v>
      </c>
      <c r="E29" s="12">
        <f t="shared" si="8"/>
        <v>0.008826109646088738</v>
      </c>
      <c r="F29" s="12">
        <f t="shared" si="2"/>
        <v>-0.32557091595288973</v>
      </c>
      <c r="I29" s="11">
        <v>1396003</v>
      </c>
      <c r="J29" s="36">
        <f t="shared" si="3"/>
        <v>394908.91089108906</v>
      </c>
      <c r="K29" s="131">
        <v>1364321</v>
      </c>
      <c r="L29" s="36">
        <f t="shared" si="4"/>
        <v>585545.4935622318</v>
      </c>
      <c r="M29" s="36"/>
      <c r="O29" s="36"/>
      <c r="P29" s="36"/>
    </row>
    <row r="30" spans="1:16" ht="15">
      <c r="A30" s="29" t="s">
        <v>908</v>
      </c>
      <c r="B30" s="11">
        <f t="shared" si="6"/>
        <v>376604.24328147096</v>
      </c>
      <c r="C30" s="12">
        <f t="shared" si="0"/>
        <v>0.007900968735981086</v>
      </c>
      <c r="D30" s="131">
        <f t="shared" si="7"/>
        <v>508209.4420600858</v>
      </c>
      <c r="E30" s="12">
        <f t="shared" si="8"/>
        <v>0.007660399248420104</v>
      </c>
      <c r="F30" s="12">
        <f>+(B30-D30)/D30</f>
        <v>-0.2589585865330206</v>
      </c>
      <c r="I30" s="11">
        <v>1331296</v>
      </c>
      <c r="J30" s="36">
        <f>+I30/$J$11</f>
        <v>376604.24328147096</v>
      </c>
      <c r="K30" s="131">
        <v>1184128</v>
      </c>
      <c r="L30" s="36">
        <f>K30/$L$11</f>
        <v>508209.4420600858</v>
      </c>
      <c r="M30" s="36"/>
      <c r="O30" s="36"/>
      <c r="P30" s="36"/>
    </row>
    <row r="31" spans="1:16" ht="15">
      <c r="A31" s="29" t="s">
        <v>824</v>
      </c>
      <c r="B31" s="11">
        <f t="shared" si="6"/>
        <v>363894.48373408767</v>
      </c>
      <c r="C31" s="12">
        <f t="shared" si="0"/>
        <v>0.007634324335082343</v>
      </c>
      <c r="D31" s="131">
        <f t="shared" si="7"/>
        <v>509351.0729613734</v>
      </c>
      <c r="E31" s="12">
        <f t="shared" si="8"/>
        <v>0.007677607406660427</v>
      </c>
      <c r="F31" s="12">
        <f>+(B31-D31)/D31</f>
        <v>-0.2855723624603347</v>
      </c>
      <c r="I31" s="11">
        <v>1286367</v>
      </c>
      <c r="J31" s="36">
        <f>+I31/$J$11</f>
        <v>363894.48373408767</v>
      </c>
      <c r="K31" s="131">
        <v>1186788</v>
      </c>
      <c r="L31" s="36">
        <f>K31/$L$11</f>
        <v>509351.0729613734</v>
      </c>
      <c r="M31" s="36"/>
      <c r="O31" s="36"/>
      <c r="P31" s="36"/>
    </row>
    <row r="32" spans="1:16" ht="14.25" customHeight="1">
      <c r="A32" s="29" t="s">
        <v>731</v>
      </c>
      <c r="B32" s="11">
        <f t="shared" si="6"/>
        <v>362657.99151343707</v>
      </c>
      <c r="C32" s="12">
        <f t="shared" si="0"/>
        <v>0.0076083833464930485</v>
      </c>
      <c r="D32" s="131">
        <f t="shared" si="7"/>
        <v>551902.5751072961</v>
      </c>
      <c r="E32" s="12">
        <f t="shared" si="8"/>
        <v>0.008318999455057739</v>
      </c>
      <c r="F32" s="12">
        <f>+(B32-D32)/D32</f>
        <v>-0.34289490958991764</v>
      </c>
      <c r="I32" s="11">
        <v>1281996</v>
      </c>
      <c r="J32" s="36">
        <f>+I32/$J$11</f>
        <v>362657.99151343707</v>
      </c>
      <c r="K32" s="131">
        <v>1285933</v>
      </c>
      <c r="L32" s="36">
        <f>K32/$L$11</f>
        <v>551902.5751072961</v>
      </c>
      <c r="M32" s="36"/>
      <c r="O32" s="36"/>
      <c r="P32" s="36"/>
    </row>
    <row r="33" spans="1:16" ht="15">
      <c r="A33" s="29" t="s">
        <v>727</v>
      </c>
      <c r="B33" s="11">
        <f t="shared" si="6"/>
        <v>352627.7227722772</v>
      </c>
      <c r="C33" s="12">
        <f t="shared" si="0"/>
        <v>0.007397953323063486</v>
      </c>
      <c r="D33" s="131">
        <f t="shared" si="7"/>
        <v>591515.8798283262</v>
      </c>
      <c r="E33" s="12">
        <f t="shared" si="8"/>
        <v>0.008916103138299691</v>
      </c>
      <c r="F33" s="12">
        <f t="shared" si="2"/>
        <v>-0.403857555143542</v>
      </c>
      <c r="I33" s="11">
        <v>1246539</v>
      </c>
      <c r="J33" s="36">
        <f t="shared" si="3"/>
        <v>352627.7227722772</v>
      </c>
      <c r="K33" s="131">
        <v>1378232</v>
      </c>
      <c r="L33" s="36">
        <f t="shared" si="4"/>
        <v>591515.8798283262</v>
      </c>
      <c r="M33" s="36"/>
      <c r="O33" s="36"/>
      <c r="P33" s="36"/>
    </row>
    <row r="34" spans="1:16" ht="15">
      <c r="A34" s="29" t="s">
        <v>733</v>
      </c>
      <c r="B34" s="11">
        <f t="shared" si="6"/>
        <v>13332811.881188119</v>
      </c>
      <c r="C34" s="12">
        <f t="shared" si="0"/>
        <v>0.2797157273590586</v>
      </c>
      <c r="D34" s="131">
        <f t="shared" si="7"/>
        <v>19847075.536480688</v>
      </c>
      <c r="E34" s="12">
        <f t="shared" si="8"/>
        <v>0.2991611527457972</v>
      </c>
      <c r="F34" s="12">
        <f t="shared" si="2"/>
        <v>-0.32822284791120854</v>
      </c>
      <c r="I34" s="11">
        <v>47131490</v>
      </c>
      <c r="J34" s="36">
        <f t="shared" si="3"/>
        <v>13332811.881188119</v>
      </c>
      <c r="K34" s="11">
        <v>46243686</v>
      </c>
      <c r="L34" s="36">
        <f>K34/L11</f>
        <v>19847075.536480688</v>
      </c>
      <c r="M34" s="36"/>
      <c r="O34" s="36"/>
      <c r="P34" s="36"/>
    </row>
    <row r="35" spans="2:16" ht="10.5" customHeight="1">
      <c r="B35" s="27"/>
      <c r="C35" s="12"/>
      <c r="D35" s="27"/>
      <c r="E35" s="12"/>
      <c r="F35" s="12"/>
      <c r="I35" s="36"/>
      <c r="J35" s="36"/>
      <c r="L35" s="36"/>
      <c r="M35" s="36"/>
      <c r="O35" s="36"/>
      <c r="P35" s="36"/>
    </row>
    <row r="36" spans="1:16" ht="14.25">
      <c r="A36" s="13" t="s">
        <v>674</v>
      </c>
      <c r="B36" s="21">
        <f>SUM(B14:B34)</f>
        <v>47665578.217821784</v>
      </c>
      <c r="C36" s="16">
        <f>SUM(C14:C34)</f>
        <v>1</v>
      </c>
      <c r="D36" s="21">
        <f>SUM(D14:D34)</f>
        <v>66342422.31759656</v>
      </c>
      <c r="E36" s="16">
        <f>SUM(E14:E34)</f>
        <v>1</v>
      </c>
      <c r="F36" s="16">
        <f>+(B36-D36)/D36</f>
        <v>-0.281521889724864</v>
      </c>
      <c r="I36" s="36">
        <f>SUM(I14:I35)</f>
        <v>168497819</v>
      </c>
      <c r="J36" s="36">
        <f>+I36/$J$11</f>
        <v>47665578.21782178</v>
      </c>
      <c r="K36" s="36">
        <f>SUM(K14:K34)</f>
        <v>154577844</v>
      </c>
      <c r="L36" s="36">
        <f>K36/$L$11</f>
        <v>66342422.31759656</v>
      </c>
      <c r="M36" s="36"/>
      <c r="O36" s="36"/>
      <c r="P36" s="36"/>
    </row>
    <row r="37" spans="1:16" ht="6.75" customHeight="1">
      <c r="A37" s="5" t="s">
        <v>686</v>
      </c>
      <c r="B37" s="19"/>
      <c r="C37" s="20"/>
      <c r="D37" s="19"/>
      <c r="E37" s="20"/>
      <c r="F37" s="20"/>
      <c r="O37" s="36"/>
      <c r="P37" s="36"/>
    </row>
    <row r="38" spans="1:16" ht="12.75">
      <c r="A38" s="521" t="s">
        <v>868</v>
      </c>
      <c r="B38" s="521"/>
      <c r="C38" s="521"/>
      <c r="D38" s="521"/>
      <c r="E38" s="521"/>
      <c r="F38" s="521"/>
      <c r="I38" s="36">
        <f>I40-SUM(I14:I33)</f>
        <v>47131490</v>
      </c>
      <c r="K38" s="36">
        <f>SUM(K14:K33)</f>
        <v>108334158</v>
      </c>
      <c r="M38" s="36"/>
      <c r="O38" s="36"/>
      <c r="P38" s="36"/>
    </row>
    <row r="39" spans="1:16" ht="12.75">
      <c r="A39" s="183"/>
      <c r="B39" s="183"/>
      <c r="C39" s="183"/>
      <c r="D39" s="183"/>
      <c r="E39" s="183"/>
      <c r="F39" s="183"/>
      <c r="I39" s="36"/>
      <c r="K39" s="36"/>
      <c r="M39" s="36"/>
      <c r="O39" s="36"/>
      <c r="P39" s="36"/>
    </row>
    <row r="40" spans="1:12" ht="12.75">
      <c r="A40" s="66" t="s">
        <v>997</v>
      </c>
      <c r="B40" s="66"/>
      <c r="C40" s="66"/>
      <c r="D40" s="66"/>
      <c r="E40" s="133"/>
      <c r="F40" s="66"/>
      <c r="I40" s="36">
        <v>168497819</v>
      </c>
      <c r="J40" s="36">
        <f>SUM(J14:J34)</f>
        <v>47665578.217821784</v>
      </c>
      <c r="K40" s="36">
        <v>154577844</v>
      </c>
      <c r="L40" s="36">
        <f>SUM(L14:L34)</f>
        <v>66342422.31759656</v>
      </c>
    </row>
    <row r="41" spans="1:11" ht="12.75">
      <c r="A41" s="66" t="s">
        <v>996</v>
      </c>
      <c r="B41" s="66"/>
      <c r="C41" s="66"/>
      <c r="D41" s="66"/>
      <c r="E41" s="133"/>
      <c r="F41" s="66"/>
      <c r="K41" s="36">
        <f>+K40-K38</f>
        <v>46243686</v>
      </c>
    </row>
    <row r="42" spans="1:6" ht="12.75">
      <c r="A42" s="66" t="s">
        <v>775</v>
      </c>
      <c r="B42" s="66"/>
      <c r="C42" s="66"/>
      <c r="D42" s="66"/>
      <c r="E42" s="133"/>
      <c r="F42" s="66"/>
    </row>
    <row r="43" ht="5.25" customHeight="1"/>
    <row r="44" spans="2:11" ht="12.75">
      <c r="B44" t="s">
        <v>739</v>
      </c>
      <c r="C44" t="s">
        <v>793</v>
      </c>
      <c r="D44" t="s">
        <v>794</v>
      </c>
      <c r="E44" t="s">
        <v>795</v>
      </c>
      <c r="I44" s="36"/>
      <c r="K44" s="36"/>
    </row>
    <row r="45" spans="1:5" ht="12.75">
      <c r="A45">
        <v>1994</v>
      </c>
      <c r="B45" s="36">
        <v>32568</v>
      </c>
      <c r="C45">
        <v>46488</v>
      </c>
      <c r="D45">
        <v>0.844</v>
      </c>
      <c r="E45" s="36">
        <f aca="true" t="shared" si="9" ref="E45:E50">+C45/D45</f>
        <v>55080.568720379146</v>
      </c>
    </row>
    <row r="46" spans="1:5" ht="12.75">
      <c r="A46">
        <v>1995</v>
      </c>
      <c r="B46" s="36">
        <v>55080.568720379146</v>
      </c>
      <c r="C46">
        <v>57461</v>
      </c>
      <c r="D46">
        <v>0.973</v>
      </c>
      <c r="E46" s="36">
        <f t="shared" si="9"/>
        <v>59055.498458376154</v>
      </c>
    </row>
    <row r="47" spans="1:5" ht="12.75">
      <c r="A47">
        <v>1996</v>
      </c>
      <c r="B47" s="36">
        <v>59055.498458376154</v>
      </c>
      <c r="C47">
        <v>71672</v>
      </c>
      <c r="D47">
        <v>1.039</v>
      </c>
      <c r="E47" s="36">
        <f t="shared" si="9"/>
        <v>68981.71318575554</v>
      </c>
    </row>
    <row r="48" spans="1:5" ht="12.75">
      <c r="A48">
        <v>1997</v>
      </c>
      <c r="B48" s="36">
        <v>68981.71318575554</v>
      </c>
      <c r="C48">
        <v>86861</v>
      </c>
      <c r="D48">
        <v>1.116</v>
      </c>
      <c r="E48" s="36">
        <f t="shared" si="9"/>
        <v>77832.43727598565</v>
      </c>
    </row>
    <row r="49" spans="1:5" ht="12.75">
      <c r="A49">
        <v>1998</v>
      </c>
      <c r="B49" s="36">
        <v>75379</v>
      </c>
      <c r="C49">
        <v>90757</v>
      </c>
      <c r="D49">
        <v>1.209</v>
      </c>
      <c r="E49" s="36">
        <f t="shared" si="9"/>
        <v>75067.8246484698</v>
      </c>
    </row>
    <row r="50" spans="1:5" ht="12.75">
      <c r="A50">
        <v>1999</v>
      </c>
      <c r="B50" s="36">
        <v>62229</v>
      </c>
      <c r="C50">
        <v>115124</v>
      </c>
      <c r="D50">
        <v>1.789</v>
      </c>
      <c r="E50" s="36">
        <f t="shared" si="9"/>
        <v>64351.03409726104</v>
      </c>
    </row>
    <row r="51" spans="1:5" ht="12.75">
      <c r="A51" s="139" t="s">
        <v>804</v>
      </c>
      <c r="B51" s="36">
        <v>66264</v>
      </c>
      <c r="E51" s="36"/>
    </row>
    <row r="52" spans="1:2" ht="12.75">
      <c r="A52" s="80">
        <v>2001</v>
      </c>
      <c r="B52" s="36">
        <v>66342</v>
      </c>
    </row>
    <row r="53" spans="1:2" ht="12.75">
      <c r="A53" s="80">
        <v>2002</v>
      </c>
      <c r="B53" s="36">
        <f>+B36/1000</f>
        <v>47665.578217821785</v>
      </c>
    </row>
  </sheetData>
  <mergeCells count="5">
    <mergeCell ref="A5:F5"/>
    <mergeCell ref="A7:F7"/>
    <mergeCell ref="A8:F8"/>
    <mergeCell ref="A38:F38"/>
    <mergeCell ref="A6:F6"/>
  </mergeCells>
  <printOptions horizontalCentered="1"/>
  <pageMargins left="0.75" right="0.75" top="1" bottom="1" header="0" footer="0"/>
  <pageSetup horizontalDpi="300" verticalDpi="300" orientation="portrait" scale="90" r:id="rId2"/>
  <headerFooter alignWithMargins="0">
    <oddFooter>&amp;C23</oddFooter>
  </headerFooter>
  <drawing r:id="rId1"/>
</worksheet>
</file>

<file path=xl/worksheets/sheet90.xml><?xml version="1.0" encoding="utf-8"?>
<worksheet xmlns="http://schemas.openxmlformats.org/spreadsheetml/2006/main" xmlns:r="http://schemas.openxmlformats.org/officeDocument/2006/relationships">
  <dimension ref="A1:D37"/>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631</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300</v>
      </c>
      <c r="B9" s="629"/>
      <c r="C9" s="628" t="s">
        <v>301</v>
      </c>
      <c r="D9" s="629"/>
    </row>
    <row r="10" spans="1:4" ht="12.75">
      <c r="A10" s="343" t="s">
        <v>75</v>
      </c>
      <c r="B10" s="343" t="s">
        <v>665</v>
      </c>
      <c r="C10" s="343" t="s">
        <v>75</v>
      </c>
      <c r="D10" s="343" t="s">
        <v>665</v>
      </c>
    </row>
    <row r="11" spans="1:4" s="151" customFormat="1" ht="12.75">
      <c r="A11" s="344" t="s">
        <v>772</v>
      </c>
      <c r="B11" s="345" t="s">
        <v>772</v>
      </c>
      <c r="C11" s="344" t="s">
        <v>302</v>
      </c>
      <c r="D11" s="345">
        <v>1</v>
      </c>
    </row>
    <row r="12" spans="1:4" s="151" customFormat="1" ht="12.75">
      <c r="A12" s="344"/>
      <c r="B12" s="345"/>
      <c r="C12" s="344"/>
      <c r="D12" s="345"/>
    </row>
    <row r="13" spans="1:4" s="269" customFormat="1" ht="12.75">
      <c r="A13" s="355"/>
      <c r="B13" s="354" t="s">
        <v>772</v>
      </c>
      <c r="C13" s="355"/>
      <c r="D13" s="354">
        <f>SUM(D11:D12)</f>
        <v>1</v>
      </c>
    </row>
    <row r="14" spans="1:4" ht="12.75">
      <c r="A14" s="3"/>
      <c r="B14" s="392"/>
      <c r="C14" s="34"/>
      <c r="D14" s="393"/>
    </row>
    <row r="15" spans="1:4" ht="12.75">
      <c r="A15" s="34"/>
      <c r="B15" s="34"/>
      <c r="C15" s="34"/>
      <c r="D15" s="34"/>
    </row>
    <row r="16" spans="1:4" ht="14.25">
      <c r="A16" s="628" t="s">
        <v>303</v>
      </c>
      <c r="B16" s="629"/>
      <c r="C16" s="628" t="s">
        <v>689</v>
      </c>
      <c r="D16" s="629"/>
    </row>
    <row r="17" spans="1:4" ht="12.75">
      <c r="A17" s="343" t="s">
        <v>75</v>
      </c>
      <c r="B17" s="343" t="s">
        <v>665</v>
      </c>
      <c r="C17" s="343" t="s">
        <v>75</v>
      </c>
      <c r="D17" s="343" t="s">
        <v>665</v>
      </c>
    </row>
    <row r="18" spans="1:4" s="151" customFormat="1" ht="12.75">
      <c r="A18" s="344" t="s">
        <v>304</v>
      </c>
      <c r="B18" s="345">
        <v>0.9</v>
      </c>
      <c r="C18" s="344" t="s">
        <v>305</v>
      </c>
      <c r="D18" s="345" t="s">
        <v>772</v>
      </c>
    </row>
    <row r="19" spans="1:4" s="151" customFormat="1" ht="12.75">
      <c r="A19" s="344" t="s">
        <v>306</v>
      </c>
      <c r="B19" s="345">
        <v>0.1</v>
      </c>
      <c r="C19" s="344" t="s">
        <v>307</v>
      </c>
      <c r="D19" s="345" t="s">
        <v>772</v>
      </c>
    </row>
    <row r="20" spans="1:4" s="151" customFormat="1" ht="12.75" customHeight="1">
      <c r="A20" s="377"/>
      <c r="B20" s="376"/>
      <c r="C20" s="344" t="s">
        <v>308</v>
      </c>
      <c r="D20" s="345" t="s">
        <v>772</v>
      </c>
    </row>
    <row r="21" spans="1:4" s="151" customFormat="1" ht="12.75">
      <c r="A21" s="451"/>
      <c r="B21" s="376"/>
      <c r="C21" s="348" t="s">
        <v>309</v>
      </c>
      <c r="D21" s="345" t="s">
        <v>772</v>
      </c>
    </row>
    <row r="22" spans="1:4" s="151" customFormat="1" ht="12.75">
      <c r="A22" s="451"/>
      <c r="B22" s="452"/>
      <c r="C22" s="348" t="s">
        <v>310</v>
      </c>
      <c r="D22" s="345" t="s">
        <v>772</v>
      </c>
    </row>
    <row r="23" spans="1:4" s="269" customFormat="1" ht="12.75">
      <c r="A23" s="355"/>
      <c r="B23" s="354">
        <f>SUM(B18:B22)</f>
        <v>1</v>
      </c>
      <c r="C23" s="355"/>
      <c r="D23" s="354" t="s">
        <v>772</v>
      </c>
    </row>
    <row r="24" spans="1:4" ht="12.75">
      <c r="A24" s="3"/>
      <c r="B24" s="416"/>
      <c r="C24" s="3"/>
      <c r="D24" s="416"/>
    </row>
    <row r="25" spans="1:4" ht="12.75">
      <c r="A25" s="3"/>
      <c r="B25" s="416"/>
      <c r="C25" s="3"/>
      <c r="D25" s="416"/>
    </row>
    <row r="26" spans="1:4" ht="14.25">
      <c r="A26" s="628" t="s">
        <v>311</v>
      </c>
      <c r="B26" s="629"/>
      <c r="C26" s="628" t="s">
        <v>989</v>
      </c>
      <c r="D26" s="629"/>
    </row>
    <row r="27" spans="1:4" ht="12.75">
      <c r="A27" s="343" t="s">
        <v>75</v>
      </c>
      <c r="B27" s="343" t="s">
        <v>665</v>
      </c>
      <c r="C27" s="343" t="s">
        <v>75</v>
      </c>
      <c r="D27" s="343" t="s">
        <v>665</v>
      </c>
    </row>
    <row r="28" spans="1:4" s="151" customFormat="1" ht="12.75">
      <c r="A28" s="344" t="s">
        <v>312</v>
      </c>
      <c r="B28" s="345" t="s">
        <v>772</v>
      </c>
      <c r="C28" s="352" t="s">
        <v>313</v>
      </c>
      <c r="D28" s="345">
        <v>0.3</v>
      </c>
    </row>
    <row r="29" spans="1:4" s="151" customFormat="1" ht="12.75">
      <c r="A29" s="344" t="s">
        <v>314</v>
      </c>
      <c r="B29" s="345" t="s">
        <v>772</v>
      </c>
      <c r="C29" s="344" t="s">
        <v>315</v>
      </c>
      <c r="D29" s="345">
        <v>0.35</v>
      </c>
    </row>
    <row r="30" spans="1:4" s="151" customFormat="1" ht="12.75" customHeight="1">
      <c r="A30" s="344" t="s">
        <v>316</v>
      </c>
      <c r="B30" s="345" t="s">
        <v>772</v>
      </c>
      <c r="C30" s="344" t="s">
        <v>275</v>
      </c>
      <c r="D30" s="345">
        <v>0.35</v>
      </c>
    </row>
    <row r="31" spans="1:4" s="151" customFormat="1" ht="12.75">
      <c r="A31" s="348" t="s">
        <v>317</v>
      </c>
      <c r="B31" s="345" t="s">
        <v>772</v>
      </c>
      <c r="C31" s="345"/>
      <c r="D31" s="345"/>
    </row>
    <row r="32" spans="1:4" s="151" customFormat="1" ht="12.75">
      <c r="A32" s="348" t="s">
        <v>318</v>
      </c>
      <c r="B32" s="345" t="s">
        <v>772</v>
      </c>
      <c r="C32" s="345"/>
      <c r="D32" s="345"/>
    </row>
    <row r="33" spans="1:4" s="151" customFormat="1" ht="12.75">
      <c r="A33" s="348" t="s">
        <v>319</v>
      </c>
      <c r="B33" s="345" t="s">
        <v>772</v>
      </c>
      <c r="C33" s="345"/>
      <c r="D33" s="345"/>
    </row>
    <row r="34" spans="1:4" s="151" customFormat="1" ht="12.75">
      <c r="A34" s="348" t="s">
        <v>320</v>
      </c>
      <c r="B34" s="345" t="s">
        <v>772</v>
      </c>
      <c r="C34" s="345"/>
      <c r="D34" s="345"/>
    </row>
    <row r="35" spans="1:4" s="269" customFormat="1" ht="12.75">
      <c r="A35" s="355"/>
      <c r="B35" s="354" t="s">
        <v>772</v>
      </c>
      <c r="C35" s="355"/>
      <c r="D35" s="354">
        <f>SUM(D28:D34)</f>
        <v>0.9999999999999999</v>
      </c>
    </row>
    <row r="36" spans="1:4" ht="12.75">
      <c r="A36" s="148" t="s">
        <v>321</v>
      </c>
      <c r="B36" s="34"/>
      <c r="C36" s="34"/>
      <c r="D36" s="34"/>
    </row>
    <row r="37" ht="12.75">
      <c r="A37" s="148" t="s">
        <v>322</v>
      </c>
    </row>
  </sheetData>
  <mergeCells count="9">
    <mergeCell ref="A26:B26"/>
    <mergeCell ref="C26:D26"/>
    <mergeCell ref="A16:B16"/>
    <mergeCell ref="C16:D16"/>
    <mergeCell ref="A5:D5"/>
    <mergeCell ref="A6:D6"/>
    <mergeCell ref="A7:D7"/>
    <mergeCell ref="A9:B9"/>
    <mergeCell ref="C9:D9"/>
  </mergeCells>
  <printOptions horizontalCentered="1"/>
  <pageMargins left="0.75" right="0.75" top="1" bottom="1" header="0" footer="0"/>
  <pageSetup horizontalDpi="300" verticalDpi="300" orientation="portrait" scale="90" r:id="rId1"/>
  <headerFooter alignWithMargins="0">
    <oddFooter>&amp;C111</oddFooter>
  </headerFooter>
</worksheet>
</file>

<file path=xl/worksheets/sheet91.xml><?xml version="1.0" encoding="utf-8"?>
<worksheet xmlns="http://schemas.openxmlformats.org/spreadsheetml/2006/main" xmlns:r="http://schemas.openxmlformats.org/officeDocument/2006/relationships">
  <dimension ref="A1:D24"/>
  <sheetViews>
    <sheetView workbookViewId="0" topLeftCell="A1">
      <selection activeCell="A5" sqref="A5:D5"/>
    </sheetView>
  </sheetViews>
  <sheetFormatPr defaultColWidth="11.421875" defaultRowHeight="12.75"/>
  <cols>
    <col min="1" max="1" width="40.421875" style="0" customWidth="1"/>
    <col min="2" max="2" width="10.7109375" style="0" customWidth="1"/>
    <col min="3" max="3" width="40.421875" style="0" customWidth="1"/>
    <col min="4" max="4" width="10.7109375" style="0" customWidth="1"/>
  </cols>
  <sheetData>
    <row r="1" ht="12.75">
      <c r="A1" s="1" t="s">
        <v>658</v>
      </c>
    </row>
    <row r="2" spans="1:4" ht="12.75">
      <c r="A2" s="1" t="s">
        <v>659</v>
      </c>
      <c r="B2" s="34"/>
      <c r="C2" s="34"/>
      <c r="D2" s="34"/>
    </row>
    <row r="3" spans="1:4" ht="12.75">
      <c r="A3" s="1"/>
      <c r="B3" s="34"/>
      <c r="C3" s="34"/>
      <c r="D3" s="34"/>
    </row>
    <row r="4" spans="1:4" ht="13.5" thickBot="1">
      <c r="A4" s="34"/>
      <c r="B4" s="34"/>
      <c r="C4" s="34"/>
      <c r="D4" s="34"/>
    </row>
    <row r="5" spans="1:4" ht="18.75" thickBot="1">
      <c r="A5" s="579" t="s">
        <v>708</v>
      </c>
      <c r="B5" s="580"/>
      <c r="C5" s="580"/>
      <c r="D5" s="581"/>
    </row>
    <row r="6" spans="1:4" ht="15.75">
      <c r="A6" s="632" t="s">
        <v>30</v>
      </c>
      <c r="B6" s="632"/>
      <c r="C6" s="632"/>
      <c r="D6" s="632"/>
    </row>
    <row r="7" spans="1:4" ht="15.75">
      <c r="A7" s="633" t="s">
        <v>31</v>
      </c>
      <c r="B7" s="633"/>
      <c r="C7" s="633"/>
      <c r="D7" s="633"/>
    </row>
    <row r="8" spans="1:4" ht="12.75">
      <c r="A8" s="154"/>
      <c r="B8" s="34"/>
      <c r="C8" s="34"/>
      <c r="D8" s="34"/>
    </row>
    <row r="9" spans="1:4" ht="14.25">
      <c r="A9" s="628" t="s">
        <v>323</v>
      </c>
      <c r="B9" s="629"/>
      <c r="C9" s="628" t="s">
        <v>324</v>
      </c>
      <c r="D9" s="629"/>
    </row>
    <row r="10" spans="1:4" ht="12.75">
      <c r="A10" s="343" t="s">
        <v>75</v>
      </c>
      <c r="B10" s="343" t="s">
        <v>665</v>
      </c>
      <c r="C10" s="343" t="s">
        <v>75</v>
      </c>
      <c r="D10" s="343" t="s">
        <v>665</v>
      </c>
    </row>
    <row r="11" spans="1:4" s="151" customFormat="1" ht="12.75">
      <c r="A11" s="344" t="s">
        <v>325</v>
      </c>
      <c r="B11" s="345">
        <v>0.5</v>
      </c>
      <c r="C11" s="344" t="s">
        <v>326</v>
      </c>
      <c r="D11" s="345">
        <v>0.7548</v>
      </c>
    </row>
    <row r="12" spans="1:4" s="151" customFormat="1" ht="12.75">
      <c r="A12" s="344" t="s">
        <v>327</v>
      </c>
      <c r="B12" s="345">
        <v>0.5</v>
      </c>
      <c r="C12" s="344" t="s">
        <v>328</v>
      </c>
      <c r="D12" s="345">
        <v>0.1002</v>
      </c>
    </row>
    <row r="13" spans="1:4" s="151" customFormat="1" ht="12.75">
      <c r="A13" s="344"/>
      <c r="B13" s="413"/>
      <c r="C13" s="352" t="s">
        <v>329</v>
      </c>
      <c r="D13" s="345">
        <v>0.145</v>
      </c>
    </row>
    <row r="14" spans="1:4" s="269" customFormat="1" ht="12.75">
      <c r="A14" s="355"/>
      <c r="B14" s="354">
        <f>SUM(B11:B13)</f>
        <v>1</v>
      </c>
      <c r="C14" s="396"/>
      <c r="D14" s="354">
        <f>SUM(D11:D13)</f>
        <v>1</v>
      </c>
    </row>
    <row r="15" spans="1:4" ht="12.75">
      <c r="A15" s="3"/>
      <c r="B15" s="392"/>
      <c r="C15" s="34"/>
      <c r="D15" s="393"/>
    </row>
    <row r="16" spans="1:4" ht="12.75">
      <c r="A16" s="34"/>
      <c r="B16" s="34"/>
      <c r="C16" s="34"/>
      <c r="D16" s="34"/>
    </row>
    <row r="17" spans="1:4" ht="14.25">
      <c r="A17" s="628" t="s">
        <v>330</v>
      </c>
      <c r="B17" s="629"/>
      <c r="C17" s="628" t="s">
        <v>331</v>
      </c>
      <c r="D17" s="629"/>
    </row>
    <row r="18" spans="1:4" ht="12.75">
      <c r="A18" s="343" t="s">
        <v>75</v>
      </c>
      <c r="B18" s="343" t="s">
        <v>665</v>
      </c>
      <c r="C18" s="343" t="s">
        <v>75</v>
      </c>
      <c r="D18" s="343" t="s">
        <v>665</v>
      </c>
    </row>
    <row r="19" spans="1:4" s="151" customFormat="1" ht="12.75">
      <c r="A19" s="352" t="s">
        <v>332</v>
      </c>
      <c r="B19" s="345">
        <v>0.51</v>
      </c>
      <c r="C19" s="344" t="s">
        <v>333</v>
      </c>
      <c r="D19" s="345">
        <v>0.3333333333333</v>
      </c>
    </row>
    <row r="20" spans="1:4" s="151" customFormat="1" ht="12.75">
      <c r="A20" s="344" t="s">
        <v>334</v>
      </c>
      <c r="B20" s="345">
        <v>0.37</v>
      </c>
      <c r="C20" s="344" t="s">
        <v>212</v>
      </c>
      <c r="D20" s="345">
        <v>0.33333333333333</v>
      </c>
    </row>
    <row r="21" spans="1:4" s="151" customFormat="1" ht="12.75">
      <c r="A21" s="344" t="s">
        <v>335</v>
      </c>
      <c r="B21" s="345">
        <v>0.12</v>
      </c>
      <c r="C21" s="344" t="s">
        <v>336</v>
      </c>
      <c r="D21" s="345">
        <v>0.3333333333333</v>
      </c>
    </row>
    <row r="22" spans="1:4" s="269" customFormat="1" ht="12.75">
      <c r="A22" s="354"/>
      <c r="B22" s="354">
        <f>SUM(B19:B21)</f>
        <v>1</v>
      </c>
      <c r="C22" s="355"/>
      <c r="D22" s="354">
        <f>SUM(D19:D21)</f>
        <v>0.9999999999999301</v>
      </c>
    </row>
    <row r="23" spans="1:4" ht="12.75">
      <c r="A23" s="3"/>
      <c r="B23" s="3"/>
      <c r="C23" s="3"/>
      <c r="D23" s="416"/>
    </row>
    <row r="24" spans="1:4" ht="13.5">
      <c r="A24" s="154" t="s">
        <v>337</v>
      </c>
      <c r="B24" s="34"/>
      <c r="C24" s="34"/>
      <c r="D24" s="34"/>
    </row>
  </sheetData>
  <mergeCells count="7">
    <mergeCell ref="C9:D9"/>
    <mergeCell ref="A17:B17"/>
    <mergeCell ref="A5:D5"/>
    <mergeCell ref="A6:D6"/>
    <mergeCell ref="A7:D7"/>
    <mergeCell ref="C17:D17"/>
    <mergeCell ref="A9:B9"/>
  </mergeCells>
  <printOptions horizontalCentered="1"/>
  <pageMargins left="0.75" right="0.75" top="1" bottom="1" header="0" footer="0"/>
  <pageSetup horizontalDpi="300" verticalDpi="300" orientation="portrait" scale="90" r:id="rId1"/>
  <headerFooter alignWithMargins="0">
    <oddFooter>&amp;C112</oddFooter>
  </headerFooter>
</worksheet>
</file>

<file path=xl/worksheets/sheet92.xml><?xml version="1.0" encoding="utf-8"?>
<worksheet xmlns="http://schemas.openxmlformats.org/spreadsheetml/2006/main" xmlns:r="http://schemas.openxmlformats.org/officeDocument/2006/relationships">
  <dimension ref="A12:J14"/>
  <sheetViews>
    <sheetView workbookViewId="0" topLeftCell="A1">
      <selection activeCell="C6" sqref="C6"/>
    </sheetView>
  </sheetViews>
  <sheetFormatPr defaultColWidth="11.421875" defaultRowHeight="12.75"/>
  <cols>
    <col min="1" max="1" width="11.7109375" style="0" customWidth="1"/>
    <col min="6" max="6" width="30.28125" style="0" customWidth="1"/>
    <col min="7" max="7" width="0.42578125" style="0" customWidth="1"/>
    <col min="10" max="10" width="7.28125" style="0" customWidth="1"/>
  </cols>
  <sheetData>
    <row r="12" spans="2:7" ht="9.75" customHeight="1" thickBot="1">
      <c r="B12" s="453"/>
      <c r="C12" s="454"/>
      <c r="D12" s="453"/>
      <c r="E12" s="453"/>
      <c r="F12" s="453"/>
      <c r="G12" s="453"/>
    </row>
    <row r="13" spans="1:10" ht="24" customHeight="1" thickBot="1" thickTop="1">
      <c r="A13" s="126"/>
      <c r="B13" s="640" t="s">
        <v>5</v>
      </c>
      <c r="C13" s="641"/>
      <c r="D13" s="641"/>
      <c r="E13" s="641"/>
      <c r="F13" s="641"/>
      <c r="G13" s="641"/>
      <c r="H13" s="641"/>
      <c r="I13" s="641"/>
      <c r="J13" s="642"/>
    </row>
    <row r="14" spans="2:7" ht="2.25" customHeight="1" thickTop="1">
      <c r="B14" s="254"/>
      <c r="C14" s="254"/>
      <c r="D14" s="254"/>
      <c r="E14" s="254"/>
      <c r="F14" s="254"/>
      <c r="G14" s="254"/>
    </row>
  </sheetData>
  <mergeCells count="1">
    <mergeCell ref="B13:J13"/>
  </mergeCells>
  <printOptions horizontalCentered="1"/>
  <pageMargins left="0.75" right="0.75" top="1.1023622047244095" bottom="1" header="0" footer="0"/>
  <pageSetup horizontalDpi="300" verticalDpi="300" orientation="landscape" scale="90" r:id="rId2"/>
  <headerFooter alignWithMargins="0">
    <oddFooter>&amp;C113</oddFooter>
  </headerFooter>
  <drawing r:id="rId1"/>
</worksheet>
</file>

<file path=xl/worksheets/sheet93.xml><?xml version="1.0" encoding="utf-8"?>
<worksheet xmlns="http://schemas.openxmlformats.org/spreadsheetml/2006/main" xmlns:r="http://schemas.openxmlformats.org/officeDocument/2006/relationships">
  <dimension ref="B9:B9"/>
  <sheetViews>
    <sheetView workbookViewId="0" topLeftCell="A1">
      <selection activeCell="D21" sqref="D21"/>
    </sheetView>
  </sheetViews>
  <sheetFormatPr defaultColWidth="11.421875" defaultRowHeight="12.75"/>
  <sheetData>
    <row r="9" ht="12.75">
      <c r="B9" s="228" t="s">
        <v>1077</v>
      </c>
    </row>
  </sheetData>
  <printOptions/>
  <pageMargins left="0.75" right="0.75" top="1" bottom="1" header="0" footer="0"/>
  <pageSetup horizontalDpi="300" verticalDpi="300" orientation="portrait" scale="90" r:id="rId1"/>
  <headerFooter alignWithMargins="0">
    <oddFooter>&amp;C114</oddFooter>
  </headerFooter>
</worksheet>
</file>

<file path=xl/worksheets/sheet94.xml><?xml version="1.0" encoding="utf-8"?>
<worksheet xmlns="http://schemas.openxmlformats.org/spreadsheetml/2006/main" xmlns:r="http://schemas.openxmlformats.org/officeDocument/2006/relationships">
  <dimension ref="A1:N43"/>
  <sheetViews>
    <sheetView workbookViewId="0" topLeftCell="A1">
      <selection activeCell="A4" sqref="A4:K4"/>
    </sheetView>
  </sheetViews>
  <sheetFormatPr defaultColWidth="11.421875" defaultRowHeight="12.75"/>
  <cols>
    <col min="1" max="1" width="24.28125" style="0" customWidth="1"/>
    <col min="4" max="4" width="13.00390625" style="0" bestFit="1" customWidth="1"/>
    <col min="6" max="6" width="12.8515625" style="0" bestFit="1" customWidth="1"/>
    <col min="12" max="12" width="12.421875" style="0" bestFit="1" customWidth="1"/>
    <col min="13" max="14" width="14.7109375" style="0" bestFit="1" customWidth="1"/>
  </cols>
  <sheetData>
    <row r="1" ht="12.75">
      <c r="A1" s="1" t="s">
        <v>658</v>
      </c>
    </row>
    <row r="2" spans="1:3" ht="12.75">
      <c r="A2" s="1" t="s">
        <v>659</v>
      </c>
      <c r="B2" s="34"/>
      <c r="C2" s="34"/>
    </row>
    <row r="3" spans="1:3" ht="13.5" thickBot="1">
      <c r="A3" s="34"/>
      <c r="B3" s="34"/>
      <c r="C3" s="34"/>
    </row>
    <row r="4" spans="1:11" ht="18.75" thickBot="1">
      <c r="A4" s="579" t="s">
        <v>359</v>
      </c>
      <c r="B4" s="580"/>
      <c r="C4" s="580"/>
      <c r="D4" s="580"/>
      <c r="E4" s="580"/>
      <c r="F4" s="580"/>
      <c r="G4" s="580"/>
      <c r="H4" s="580"/>
      <c r="I4" s="580"/>
      <c r="J4" s="580"/>
      <c r="K4" s="581"/>
    </row>
    <row r="6" spans="1:11" ht="14.25">
      <c r="A6" s="480" t="s">
        <v>752</v>
      </c>
      <c r="B6" s="643" t="s">
        <v>338</v>
      </c>
      <c r="C6" s="644"/>
      <c r="D6" s="643" t="s">
        <v>339</v>
      </c>
      <c r="E6" s="644"/>
      <c r="F6" s="643" t="s">
        <v>340</v>
      </c>
      <c r="G6" s="644"/>
      <c r="H6" s="643" t="s">
        <v>341</v>
      </c>
      <c r="I6" s="644"/>
      <c r="J6" s="643" t="s">
        <v>342</v>
      </c>
      <c r="K6" s="644"/>
    </row>
    <row r="7" spans="1:11" ht="15">
      <c r="A7" s="488" t="s">
        <v>753</v>
      </c>
      <c r="B7" s="645" t="s">
        <v>343</v>
      </c>
      <c r="C7" s="646"/>
      <c r="D7" s="645" t="s">
        <v>344</v>
      </c>
      <c r="E7" s="646"/>
      <c r="F7" s="645" t="s">
        <v>345</v>
      </c>
      <c r="G7" s="646"/>
      <c r="H7" s="645" t="s">
        <v>346</v>
      </c>
      <c r="I7" s="646"/>
      <c r="J7" s="645" t="s">
        <v>347</v>
      </c>
      <c r="K7" s="646"/>
    </row>
    <row r="8" spans="1:11" ht="15">
      <c r="A8" s="482"/>
      <c r="B8" s="483">
        <v>2002</v>
      </c>
      <c r="C8" s="483">
        <v>2001</v>
      </c>
      <c r="D8" s="483">
        <v>2002</v>
      </c>
      <c r="E8" s="483">
        <v>2001</v>
      </c>
      <c r="F8" s="483">
        <v>2002</v>
      </c>
      <c r="G8" s="483">
        <v>2001</v>
      </c>
      <c r="H8" s="483">
        <v>2002</v>
      </c>
      <c r="I8" s="483">
        <v>2001</v>
      </c>
      <c r="J8" s="483">
        <v>2002</v>
      </c>
      <c r="K8" s="483">
        <v>2001</v>
      </c>
    </row>
    <row r="9" ht="6.75" customHeight="1"/>
    <row r="10" spans="1:11" s="151" customFormat="1" ht="12.75">
      <c r="A10" s="34" t="s">
        <v>348</v>
      </c>
      <c r="B10" s="134">
        <v>236631</v>
      </c>
      <c r="C10" s="134">
        <v>271428</v>
      </c>
      <c r="D10" s="134">
        <v>34223000</v>
      </c>
      <c r="E10" s="134">
        <v>33712000</v>
      </c>
      <c r="F10" s="134">
        <v>14336000</v>
      </c>
      <c r="G10" s="134">
        <v>14208000</v>
      </c>
      <c r="H10" s="455">
        <v>41</v>
      </c>
      <c r="I10" s="455">
        <v>-1.1</v>
      </c>
      <c r="J10" s="455">
        <v>17.8</v>
      </c>
      <c r="K10" s="455">
        <v>18.3</v>
      </c>
    </row>
    <row r="11" spans="1:11" s="457" customFormat="1" ht="12.75">
      <c r="A11" s="166" t="s">
        <v>809</v>
      </c>
      <c r="B11" s="135">
        <v>8160</v>
      </c>
      <c r="C11" s="134">
        <v>7954</v>
      </c>
      <c r="D11" s="135">
        <v>8501042</v>
      </c>
      <c r="E11" s="135">
        <v>8274325</v>
      </c>
      <c r="F11" s="135">
        <v>4123005</v>
      </c>
      <c r="G11" s="135">
        <v>3864110</v>
      </c>
      <c r="H11" s="456">
        <v>2.45</v>
      </c>
      <c r="I11" s="456" t="s">
        <v>772</v>
      </c>
      <c r="J11" s="456">
        <v>11.6</v>
      </c>
      <c r="K11" s="456">
        <v>9.4</v>
      </c>
    </row>
    <row r="12" spans="1:13" s="151" customFormat="1" ht="12.75">
      <c r="A12" s="34" t="s">
        <v>1045</v>
      </c>
      <c r="B12" s="134">
        <v>502592.751</v>
      </c>
      <c r="C12" s="134">
        <v>555114</v>
      </c>
      <c r="D12" s="134">
        <v>174820942</v>
      </c>
      <c r="E12" s="134">
        <v>169799170</v>
      </c>
      <c r="F12" s="135">
        <v>64774700</v>
      </c>
      <c r="G12" s="135">
        <v>63418686</v>
      </c>
      <c r="H12" s="455">
        <v>5.16</v>
      </c>
      <c r="I12" s="455">
        <v>9.12</v>
      </c>
      <c r="J12" s="455">
        <v>7.5</v>
      </c>
      <c r="K12" s="455">
        <v>6.7</v>
      </c>
      <c r="M12" s="190"/>
    </row>
    <row r="13" spans="1:14" s="151" customFormat="1" ht="12.75">
      <c r="A13" s="34" t="s">
        <v>755</v>
      </c>
      <c r="B13" s="134">
        <v>71297</v>
      </c>
      <c r="C13" s="134">
        <v>82720</v>
      </c>
      <c r="D13" s="134">
        <v>42746000</v>
      </c>
      <c r="E13" s="134">
        <v>42035000</v>
      </c>
      <c r="F13" s="134">
        <v>19995000</v>
      </c>
      <c r="G13" s="134">
        <v>20080000</v>
      </c>
      <c r="H13" s="455">
        <v>6.9</v>
      </c>
      <c r="I13" s="455">
        <v>7.7</v>
      </c>
      <c r="J13" s="455">
        <v>15.6</v>
      </c>
      <c r="K13" s="455">
        <v>13.5</v>
      </c>
      <c r="M13" s="458"/>
      <c r="N13" s="458"/>
    </row>
    <row r="14" spans="1:14" s="457" customFormat="1" ht="12.75">
      <c r="A14" s="166" t="s">
        <v>953</v>
      </c>
      <c r="B14" s="135" t="s">
        <v>772</v>
      </c>
      <c r="C14" s="134">
        <v>15781</v>
      </c>
      <c r="D14" s="135" t="s">
        <v>772</v>
      </c>
      <c r="E14" s="135">
        <v>4030000</v>
      </c>
      <c r="F14" s="135">
        <v>1552924</v>
      </c>
      <c r="G14" s="135">
        <v>1586491</v>
      </c>
      <c r="H14" s="455">
        <v>10</v>
      </c>
      <c r="I14" s="455">
        <v>10</v>
      </c>
      <c r="J14" s="456">
        <v>6.4</v>
      </c>
      <c r="K14" s="456">
        <v>6.1</v>
      </c>
      <c r="M14" s="459"/>
      <c r="N14" s="459"/>
    </row>
    <row r="15" spans="1:13" s="151" customFormat="1" ht="12.75">
      <c r="A15" s="34" t="s">
        <v>756</v>
      </c>
      <c r="B15" s="135" t="s">
        <v>772</v>
      </c>
      <c r="C15" s="134">
        <v>67236</v>
      </c>
      <c r="D15" s="134">
        <v>15659000</v>
      </c>
      <c r="E15" s="134">
        <v>15473000</v>
      </c>
      <c r="F15" s="134">
        <v>6002840</v>
      </c>
      <c r="G15" s="134">
        <v>5947010</v>
      </c>
      <c r="H15" s="455">
        <v>2.8</v>
      </c>
      <c r="I15" s="455">
        <v>2.6</v>
      </c>
      <c r="J15" s="455">
        <v>8.9</v>
      </c>
      <c r="K15" s="455">
        <v>9.1</v>
      </c>
      <c r="M15" s="460"/>
    </row>
    <row r="16" spans="1:11" s="151" customFormat="1" ht="12.75">
      <c r="A16" s="34" t="s">
        <v>757</v>
      </c>
      <c r="B16" s="135" t="s">
        <v>772</v>
      </c>
      <c r="C16" s="134">
        <v>20505</v>
      </c>
      <c r="D16" s="135" t="s">
        <v>772</v>
      </c>
      <c r="E16" s="134">
        <v>12879499</v>
      </c>
      <c r="F16" s="135" t="s">
        <v>772</v>
      </c>
      <c r="G16" s="134">
        <v>1778434</v>
      </c>
      <c r="H16" s="456" t="s">
        <v>772</v>
      </c>
      <c r="I16" s="455">
        <v>20</v>
      </c>
      <c r="J16" s="456" t="s">
        <v>772</v>
      </c>
      <c r="K16" s="455">
        <v>9</v>
      </c>
    </row>
    <row r="17" spans="1:11" s="457" customFormat="1" ht="12.75">
      <c r="A17" s="166" t="s">
        <v>858</v>
      </c>
      <c r="B17" s="135" t="s">
        <v>772</v>
      </c>
      <c r="C17" s="134">
        <v>14000</v>
      </c>
      <c r="D17" s="135" t="s">
        <v>772</v>
      </c>
      <c r="E17" s="134">
        <v>6400000</v>
      </c>
      <c r="F17" s="135" t="s">
        <v>772</v>
      </c>
      <c r="G17" s="135" t="s">
        <v>772</v>
      </c>
      <c r="H17" s="456" t="s">
        <v>772</v>
      </c>
      <c r="I17" s="455">
        <v>1.4</v>
      </c>
      <c r="J17" s="455">
        <v>6.2</v>
      </c>
      <c r="K17" s="455">
        <v>7</v>
      </c>
    </row>
    <row r="18" spans="1:11" s="151" customFormat="1" ht="12.75">
      <c r="A18" s="34" t="s">
        <v>365</v>
      </c>
      <c r="B18" s="134">
        <v>584147</v>
      </c>
      <c r="C18" s="134">
        <v>648182</v>
      </c>
      <c r="D18" s="134">
        <v>97483412</v>
      </c>
      <c r="E18" s="134">
        <v>97483412</v>
      </c>
      <c r="F18" s="134">
        <v>45692163</v>
      </c>
      <c r="G18" s="134">
        <v>44507370</v>
      </c>
      <c r="H18" s="455">
        <v>5.7</v>
      </c>
      <c r="I18" s="455">
        <v>4.4</v>
      </c>
      <c r="J18" s="456">
        <v>2.8</v>
      </c>
      <c r="K18" s="455">
        <v>2.4</v>
      </c>
    </row>
    <row r="19" spans="1:11" s="457" customFormat="1" ht="12.75">
      <c r="A19" s="166" t="s">
        <v>349</v>
      </c>
      <c r="B19" s="134">
        <v>56739</v>
      </c>
      <c r="C19" s="134">
        <v>54024</v>
      </c>
      <c r="D19" s="134">
        <v>26748972</v>
      </c>
      <c r="E19" s="134">
        <v>26379917</v>
      </c>
      <c r="F19" s="134">
        <v>10553000</v>
      </c>
      <c r="G19" s="134">
        <v>10387000</v>
      </c>
      <c r="H19" s="455">
        <v>1.52</v>
      </c>
      <c r="I19" s="455">
        <v>-0.13</v>
      </c>
      <c r="J19" s="456">
        <v>8.7</v>
      </c>
      <c r="K19" s="456">
        <v>8.9</v>
      </c>
    </row>
    <row r="20" spans="1:11" s="151" customFormat="1" ht="12.75">
      <c r="A20" s="34" t="s">
        <v>350</v>
      </c>
      <c r="B20" s="135">
        <v>22757</v>
      </c>
      <c r="C20" s="134">
        <v>21288</v>
      </c>
      <c r="D20" s="135">
        <v>8910000</v>
      </c>
      <c r="E20" s="135">
        <v>8750000</v>
      </c>
      <c r="F20" s="135" t="s">
        <v>772</v>
      </c>
      <c r="G20" s="135">
        <v>3943463</v>
      </c>
      <c r="H20" s="456">
        <v>10.5</v>
      </c>
      <c r="I20" s="455">
        <v>4.4</v>
      </c>
      <c r="J20" s="456">
        <v>16.1</v>
      </c>
      <c r="K20" s="456">
        <v>15.6</v>
      </c>
    </row>
    <row r="21" spans="1:11" s="151" customFormat="1" ht="12.75">
      <c r="A21" s="34" t="s">
        <v>351</v>
      </c>
      <c r="B21" s="135">
        <v>12321</v>
      </c>
      <c r="C21" s="134">
        <v>18566</v>
      </c>
      <c r="D21" s="134">
        <v>3360868</v>
      </c>
      <c r="E21" s="134">
        <v>3341521</v>
      </c>
      <c r="F21" s="135" t="s">
        <v>772</v>
      </c>
      <c r="G21" s="134">
        <v>1269400</v>
      </c>
      <c r="H21" s="455">
        <v>25.94</v>
      </c>
      <c r="I21" s="455">
        <v>3.59</v>
      </c>
      <c r="J21" s="455">
        <v>17</v>
      </c>
      <c r="K21" s="456">
        <v>15.3</v>
      </c>
    </row>
    <row r="22" spans="1:11" s="457" customFormat="1" ht="12.75">
      <c r="A22" s="166" t="s">
        <v>366</v>
      </c>
      <c r="B22" s="135">
        <v>124948.5</v>
      </c>
      <c r="C22" s="135">
        <v>115900</v>
      </c>
      <c r="D22" s="135">
        <v>24632000</v>
      </c>
      <c r="E22" s="135">
        <v>24690000</v>
      </c>
      <c r="F22" s="135">
        <v>11105000</v>
      </c>
      <c r="G22" s="135">
        <v>10259161</v>
      </c>
      <c r="H22" s="455">
        <v>12.1</v>
      </c>
      <c r="I22" s="455">
        <v>5.8</v>
      </c>
      <c r="J22" s="455">
        <v>15</v>
      </c>
      <c r="K22" s="455">
        <v>13.2</v>
      </c>
    </row>
    <row r="23" s="151" customFormat="1" ht="6.75" customHeight="1"/>
    <row r="24" spans="1:11" ht="14.25">
      <c r="A24" s="480" t="s">
        <v>352</v>
      </c>
      <c r="B24" s="643" t="s">
        <v>338</v>
      </c>
      <c r="C24" s="644"/>
      <c r="D24" s="643" t="s">
        <v>339</v>
      </c>
      <c r="E24" s="644"/>
      <c r="F24" s="643" t="s">
        <v>340</v>
      </c>
      <c r="G24" s="644"/>
      <c r="H24" s="643" t="s">
        <v>341</v>
      </c>
      <c r="I24" s="644"/>
      <c r="J24" s="643" t="s">
        <v>342</v>
      </c>
      <c r="K24" s="644"/>
    </row>
    <row r="25" spans="1:11" ht="15">
      <c r="A25" s="488" t="s">
        <v>353</v>
      </c>
      <c r="B25" s="645" t="s">
        <v>343</v>
      </c>
      <c r="C25" s="646"/>
      <c r="D25" s="645" t="s">
        <v>344</v>
      </c>
      <c r="E25" s="646"/>
      <c r="F25" s="645" t="s">
        <v>345</v>
      </c>
      <c r="G25" s="646"/>
      <c r="H25" s="645" t="s">
        <v>346</v>
      </c>
      <c r="I25" s="646"/>
      <c r="J25" s="645" t="s">
        <v>347</v>
      </c>
      <c r="K25" s="646"/>
    </row>
    <row r="26" spans="1:11" ht="15">
      <c r="A26" s="482"/>
      <c r="B26" s="483">
        <v>2002</v>
      </c>
      <c r="C26" s="483">
        <v>2001</v>
      </c>
      <c r="D26" s="483">
        <v>2002</v>
      </c>
      <c r="E26" s="483">
        <v>2001</v>
      </c>
      <c r="F26" s="483">
        <v>2002</v>
      </c>
      <c r="G26" s="483">
        <v>2001</v>
      </c>
      <c r="H26" s="483">
        <v>2002</v>
      </c>
      <c r="I26" s="483">
        <v>2001</v>
      </c>
      <c r="J26" s="483">
        <v>2002</v>
      </c>
      <c r="K26" s="483">
        <v>2001</v>
      </c>
    </row>
    <row r="27" ht="6.75" customHeight="1"/>
    <row r="28" spans="1:11" ht="12.75">
      <c r="A28" s="34" t="s">
        <v>367</v>
      </c>
      <c r="B28" s="135">
        <v>13557</v>
      </c>
      <c r="C28" s="134">
        <v>12596</v>
      </c>
      <c r="D28" s="135">
        <v>8119000</v>
      </c>
      <c r="E28" s="135">
        <v>8190876</v>
      </c>
      <c r="F28" s="135">
        <v>3406700</v>
      </c>
      <c r="G28" s="134">
        <v>3431400</v>
      </c>
      <c r="H28" s="456">
        <v>2.2</v>
      </c>
      <c r="I28" s="456">
        <v>2.6</v>
      </c>
      <c r="J28" s="456">
        <v>18.56</v>
      </c>
      <c r="K28" s="456">
        <v>16.3</v>
      </c>
    </row>
    <row r="29" spans="1:11" s="457" customFormat="1" ht="12.75">
      <c r="A29" s="461" t="s">
        <v>368</v>
      </c>
      <c r="B29" s="135">
        <v>574315</v>
      </c>
      <c r="C29" s="134">
        <v>563737</v>
      </c>
      <c r="D29" s="135">
        <v>41116842</v>
      </c>
      <c r="E29" s="134">
        <v>40499791</v>
      </c>
      <c r="F29" s="135">
        <v>17815000</v>
      </c>
      <c r="G29" s="134">
        <v>17857000</v>
      </c>
      <c r="H29" s="456">
        <v>3.6</v>
      </c>
      <c r="I29" s="455">
        <v>3.4</v>
      </c>
      <c r="J29" s="456">
        <v>8.03</v>
      </c>
      <c r="K29" s="455">
        <v>8.37</v>
      </c>
    </row>
    <row r="30" spans="1:11" s="457" customFormat="1" ht="12.75">
      <c r="A30" s="461" t="s">
        <v>354</v>
      </c>
      <c r="B30" s="135" t="s">
        <v>772</v>
      </c>
      <c r="C30" s="134">
        <v>467160</v>
      </c>
      <c r="D30" s="464" t="s">
        <v>772</v>
      </c>
      <c r="E30" s="134">
        <v>147100000</v>
      </c>
      <c r="F30" s="135" t="s">
        <v>355</v>
      </c>
      <c r="G30" s="135">
        <v>78000000</v>
      </c>
      <c r="H30" s="456" t="s">
        <v>772</v>
      </c>
      <c r="I30" s="455">
        <v>8.2</v>
      </c>
      <c r="J30" s="456" t="s">
        <v>355</v>
      </c>
      <c r="K30" s="455">
        <v>11.2</v>
      </c>
    </row>
    <row r="31" spans="1:11" s="457" customFormat="1" ht="12.75">
      <c r="A31" s="461" t="s">
        <v>356</v>
      </c>
      <c r="B31" s="135">
        <v>6987</v>
      </c>
      <c r="C31" s="134">
        <v>6127</v>
      </c>
      <c r="D31" s="135">
        <v>14896000</v>
      </c>
      <c r="E31" s="134">
        <v>14957791</v>
      </c>
      <c r="F31" s="135">
        <v>7000000</v>
      </c>
      <c r="G31" s="134">
        <v>7064200</v>
      </c>
      <c r="H31" s="456">
        <v>8.2</v>
      </c>
      <c r="I31" s="455">
        <v>17.8</v>
      </c>
      <c r="J31" s="456" t="s">
        <v>355</v>
      </c>
      <c r="K31" s="456">
        <v>13.5</v>
      </c>
    </row>
    <row r="32" spans="1:11" s="166" customFormat="1" ht="12.75">
      <c r="A32" s="166" t="s">
        <v>357</v>
      </c>
      <c r="B32" s="134">
        <v>343934</v>
      </c>
      <c r="C32" s="134">
        <v>302491</v>
      </c>
      <c r="D32" s="134">
        <v>38644200</v>
      </c>
      <c r="E32" s="134">
        <v>38653600</v>
      </c>
      <c r="F32" s="135" t="s">
        <v>355</v>
      </c>
      <c r="G32" s="135" t="s">
        <v>355</v>
      </c>
      <c r="H32" s="455">
        <v>6.7</v>
      </c>
      <c r="I32" s="455">
        <v>8.2</v>
      </c>
      <c r="J32" s="455">
        <v>17.4</v>
      </c>
      <c r="K32" s="455">
        <v>15.1</v>
      </c>
    </row>
    <row r="33" ht="9" customHeight="1"/>
    <row r="34" ht="12.75">
      <c r="A34" s="66" t="s">
        <v>360</v>
      </c>
    </row>
    <row r="35" spans="1:5" ht="12.75">
      <c r="A35" s="66" t="s">
        <v>361</v>
      </c>
      <c r="B35" s="74"/>
      <c r="C35" s="74"/>
      <c r="D35" s="74"/>
      <c r="E35" s="74"/>
    </row>
    <row r="36" spans="1:5" ht="12.75">
      <c r="A36" s="66" t="s">
        <v>358</v>
      </c>
      <c r="B36" s="74"/>
      <c r="C36" s="74"/>
      <c r="D36" s="74"/>
      <c r="E36" s="74"/>
    </row>
    <row r="37" spans="1:11" s="151" customFormat="1" ht="24" customHeight="1">
      <c r="A37" s="520" t="s">
        <v>6</v>
      </c>
      <c r="B37" s="520"/>
      <c r="C37" s="520"/>
      <c r="D37" s="520"/>
      <c r="E37" s="520"/>
      <c r="F37" s="520"/>
      <c r="G37" s="520"/>
      <c r="H37" s="520"/>
      <c r="I37" s="520"/>
      <c r="J37" s="520"/>
      <c r="K37" s="520"/>
    </row>
    <row r="38" spans="1:4" s="151" customFormat="1" ht="12.75">
      <c r="A38" s="66" t="s">
        <v>7</v>
      </c>
      <c r="D38" s="462"/>
    </row>
    <row r="39" spans="1:4" s="151" customFormat="1" ht="12.75">
      <c r="A39" s="66" t="s">
        <v>8</v>
      </c>
      <c r="D39" s="462"/>
    </row>
    <row r="40" s="151" customFormat="1" ht="12.75">
      <c r="A40" s="463" t="s">
        <v>9</v>
      </c>
    </row>
    <row r="41" spans="1:11" ht="12.75" customHeight="1">
      <c r="A41" s="463" t="s">
        <v>362</v>
      </c>
      <c r="B41" s="35"/>
      <c r="C41" s="35"/>
      <c r="D41" s="35"/>
      <c r="E41" s="35"/>
      <c r="F41" s="35"/>
      <c r="G41" s="35"/>
      <c r="H41" s="35"/>
      <c r="I41" s="35"/>
      <c r="J41" s="35"/>
      <c r="K41" s="35"/>
    </row>
    <row r="42" spans="1:11" ht="12.75" customHeight="1">
      <c r="A42" s="463" t="s">
        <v>363</v>
      </c>
      <c r="B42" s="35"/>
      <c r="C42" s="35"/>
      <c r="D42" s="35"/>
      <c r="E42" s="35"/>
      <c r="F42" s="35"/>
      <c r="G42" s="35"/>
      <c r="H42" s="35"/>
      <c r="I42" s="35"/>
      <c r="J42" s="35"/>
      <c r="K42" s="35"/>
    </row>
    <row r="43" ht="12.75">
      <c r="A43" s="66" t="s">
        <v>364</v>
      </c>
    </row>
  </sheetData>
  <mergeCells count="22">
    <mergeCell ref="B24:C24"/>
    <mergeCell ref="B25:C25"/>
    <mergeCell ref="H7:I7"/>
    <mergeCell ref="J7:K7"/>
    <mergeCell ref="A37:K37"/>
    <mergeCell ref="H6:I6"/>
    <mergeCell ref="D24:E24"/>
    <mergeCell ref="H25:I25"/>
    <mergeCell ref="F24:G24"/>
    <mergeCell ref="H24:I24"/>
    <mergeCell ref="J24:K24"/>
    <mergeCell ref="J25:K25"/>
    <mergeCell ref="D25:E25"/>
    <mergeCell ref="F25:G25"/>
    <mergeCell ref="A4:K4"/>
    <mergeCell ref="B6:C6"/>
    <mergeCell ref="B7:C7"/>
    <mergeCell ref="D6:E6"/>
    <mergeCell ref="D7:E7"/>
    <mergeCell ref="F6:G6"/>
    <mergeCell ref="F7:G7"/>
    <mergeCell ref="J6:K6"/>
  </mergeCells>
  <printOptions horizontalCentered="1"/>
  <pageMargins left="0.75" right="0.75" top="1" bottom="1" header="0" footer="0"/>
  <pageSetup horizontalDpi="300" verticalDpi="300" orientation="landscape" scale="90" r:id="rId1"/>
  <headerFooter alignWithMargins="0">
    <oddFooter>&amp;C115</oddFooter>
  </headerFooter>
</worksheet>
</file>

<file path=xl/worksheets/sheet95.xml><?xml version="1.0" encoding="utf-8"?>
<worksheet xmlns="http://schemas.openxmlformats.org/spreadsheetml/2006/main" xmlns:r="http://schemas.openxmlformats.org/officeDocument/2006/relationships">
  <dimension ref="A1:H40"/>
  <sheetViews>
    <sheetView workbookViewId="0" topLeftCell="A2">
      <selection activeCell="A4" sqref="A4:G4"/>
    </sheetView>
  </sheetViews>
  <sheetFormatPr defaultColWidth="11.421875" defaultRowHeight="12.75"/>
  <cols>
    <col min="1" max="1" width="24.28125" style="0" customWidth="1"/>
    <col min="4" max="4" width="19.7109375" style="0" customWidth="1"/>
    <col min="5" max="5" width="20.57421875" style="0" customWidth="1"/>
    <col min="6" max="7" width="20.140625" style="0" customWidth="1"/>
  </cols>
  <sheetData>
    <row r="1" ht="12.75">
      <c r="A1" s="1" t="s">
        <v>658</v>
      </c>
    </row>
    <row r="2" spans="1:4" ht="12.75">
      <c r="A2" s="1" t="s">
        <v>659</v>
      </c>
      <c r="B2" s="34"/>
      <c r="C2" s="34"/>
      <c r="D2" s="34"/>
    </row>
    <row r="3" spans="1:4" ht="13.5" thickBot="1">
      <c r="A3" s="34"/>
      <c r="B3" s="34"/>
      <c r="C3" s="34"/>
      <c r="D3" s="34"/>
    </row>
    <row r="4" spans="1:7" ht="18.75" thickBot="1">
      <c r="A4" s="579" t="s">
        <v>382</v>
      </c>
      <c r="B4" s="580"/>
      <c r="C4" s="580"/>
      <c r="D4" s="580"/>
      <c r="E4" s="580"/>
      <c r="F4" s="580"/>
      <c r="G4" s="581"/>
    </row>
    <row r="6" spans="1:7" ht="14.25">
      <c r="A6" s="480" t="s">
        <v>752</v>
      </c>
      <c r="B6" s="643" t="s">
        <v>369</v>
      </c>
      <c r="C6" s="644"/>
      <c r="D6" s="643" t="s">
        <v>370</v>
      </c>
      <c r="E6" s="644"/>
      <c r="F6" s="643" t="s">
        <v>371</v>
      </c>
      <c r="G6" s="644"/>
    </row>
    <row r="7" spans="1:7" ht="15">
      <c r="A7" s="488" t="s">
        <v>753</v>
      </c>
      <c r="B7" s="645" t="s">
        <v>372</v>
      </c>
      <c r="C7" s="646"/>
      <c r="D7" s="645" t="s">
        <v>373</v>
      </c>
      <c r="E7" s="646"/>
      <c r="F7" s="645" t="s">
        <v>651</v>
      </c>
      <c r="G7" s="646"/>
    </row>
    <row r="8" spans="1:7" ht="30">
      <c r="A8" s="482"/>
      <c r="B8" s="483">
        <v>2002</v>
      </c>
      <c r="C8" s="483">
        <v>2001</v>
      </c>
      <c r="D8" s="483">
        <v>2002</v>
      </c>
      <c r="E8" s="483">
        <v>2001</v>
      </c>
      <c r="F8" s="483" t="s">
        <v>652</v>
      </c>
      <c r="G8" s="509" t="s">
        <v>653</v>
      </c>
    </row>
    <row r="9" spans="1:7" s="126" customFormat="1" ht="15">
      <c r="A9" s="465"/>
      <c r="B9" s="93"/>
      <c r="C9" s="93"/>
      <c r="D9" s="93"/>
      <c r="E9" s="93"/>
      <c r="F9" s="93"/>
      <c r="G9" s="93"/>
    </row>
    <row r="10" spans="1:8" s="151" customFormat="1" ht="12.75">
      <c r="A10" s="34" t="s">
        <v>374</v>
      </c>
      <c r="B10" s="455">
        <f>+Hoja19!B28/(Hoja115!B10*1000)*100</f>
        <v>4.821421538175471</v>
      </c>
      <c r="C10" s="455">
        <f>+Hoja19!D28/(Hoja115!C10*1000)*100</f>
        <v>7.6581111749708946</v>
      </c>
      <c r="D10" s="466">
        <v>548.5</v>
      </c>
      <c r="E10" s="466">
        <v>883.5</v>
      </c>
      <c r="F10" s="166">
        <v>30.95</v>
      </c>
      <c r="G10" s="166">
        <v>10.45</v>
      </c>
      <c r="H10" s="467"/>
    </row>
    <row r="11" spans="1:7" s="457" customFormat="1" ht="12.75">
      <c r="A11" s="166" t="s">
        <v>809</v>
      </c>
      <c r="B11" s="455">
        <f>+Hoja21!B18/(Hoja115!B11*1000)*100</f>
        <v>14.017634803921569</v>
      </c>
      <c r="C11" s="455">
        <f>+Hoja21!D18/(Hoja115!C11*1000)*100</f>
        <v>11.762962031682173</v>
      </c>
      <c r="D11" s="464" t="s">
        <v>772</v>
      </c>
      <c r="E11" s="466">
        <v>350</v>
      </c>
      <c r="F11" s="455">
        <v>10</v>
      </c>
      <c r="G11" s="456">
        <v>8.62</v>
      </c>
    </row>
    <row r="12" spans="1:7" s="457" customFormat="1" ht="12.75">
      <c r="A12" s="166" t="s">
        <v>375</v>
      </c>
      <c r="B12" s="455">
        <f>(('[7]Hoja26'!$B$36+'[7]Hoja27'!$B$14)/1000)/'[1]Hoja109'!B12*100</f>
        <v>12.637726629686588</v>
      </c>
      <c r="C12" s="455">
        <f>(('[7]Hoja26'!$D$36+'[7]Hoja27'!$C$14)/1000)/'[1]Hoja109'!C12*100</f>
        <v>12.399809416350204</v>
      </c>
      <c r="D12" s="468" t="s">
        <v>376</v>
      </c>
      <c r="E12" s="468" t="s">
        <v>376</v>
      </c>
      <c r="F12" s="469" t="s">
        <v>376</v>
      </c>
      <c r="G12" s="469" t="s">
        <v>376</v>
      </c>
    </row>
    <row r="13" spans="1:8" s="151" customFormat="1" ht="12.75">
      <c r="A13" s="34" t="s">
        <v>755</v>
      </c>
      <c r="B13" s="455">
        <f>+Hoja26!B22/(Hoja115!B13*1000)*100</f>
        <v>7.688912749519227</v>
      </c>
      <c r="C13" s="455">
        <f>+Hoja26!D22/(Hoja115!C13*1000)*100</f>
        <v>5.990534332688588</v>
      </c>
      <c r="D13" s="466">
        <v>306</v>
      </c>
      <c r="E13" s="466">
        <v>286</v>
      </c>
      <c r="F13" s="469" t="s">
        <v>376</v>
      </c>
      <c r="G13" s="166">
        <v>9.66</v>
      </c>
      <c r="H13" s="467"/>
    </row>
    <row r="14" spans="1:7" s="457" customFormat="1" ht="12.75">
      <c r="A14" s="166" t="s">
        <v>377</v>
      </c>
      <c r="B14" s="456" t="s">
        <v>772</v>
      </c>
      <c r="C14" s="456">
        <f>+Hoja28!D25/(Hoja115!C14*1000)*100</f>
        <v>0.13228927190925796</v>
      </c>
      <c r="D14" s="468" t="s">
        <v>772</v>
      </c>
      <c r="E14" s="466">
        <v>120</v>
      </c>
      <c r="F14" s="456">
        <v>17.61</v>
      </c>
      <c r="G14" s="469" t="s">
        <v>376</v>
      </c>
    </row>
    <row r="15" spans="1:7" s="151" customFormat="1" ht="12.75">
      <c r="A15" s="34" t="s">
        <v>756</v>
      </c>
      <c r="B15" s="456" t="s">
        <v>772</v>
      </c>
      <c r="C15" s="455">
        <f>+Hoja30!D23/(Hoja115!C15*1000)*100</f>
        <v>49.479564519007674</v>
      </c>
      <c r="D15" s="466">
        <v>308.851</v>
      </c>
      <c r="E15" s="466">
        <v>302.74</v>
      </c>
      <c r="F15" s="455">
        <v>3</v>
      </c>
      <c r="G15" s="455">
        <v>10.3</v>
      </c>
    </row>
    <row r="16" spans="1:7" s="151" customFormat="1" ht="12.75">
      <c r="A16" s="34" t="s">
        <v>757</v>
      </c>
      <c r="B16" s="456" t="s">
        <v>772</v>
      </c>
      <c r="C16" s="455">
        <f>+Hoja32!D23/(Hoja115!C16*1000)*100</f>
        <v>0.06549401121677641</v>
      </c>
      <c r="D16" s="468" t="s">
        <v>772</v>
      </c>
      <c r="E16" s="468" t="s">
        <v>772</v>
      </c>
      <c r="F16" s="468" t="s">
        <v>772</v>
      </c>
      <c r="G16" s="468" t="s">
        <v>772</v>
      </c>
    </row>
    <row r="17" spans="1:7" s="457" customFormat="1" ht="12.75">
      <c r="A17" s="166" t="s">
        <v>858</v>
      </c>
      <c r="B17" s="456" t="s">
        <v>772</v>
      </c>
      <c r="C17" s="455">
        <f>+Hoja34!D19/(Hoja115!C17*1000)*100</f>
        <v>5.569415085714286</v>
      </c>
      <c r="D17" s="468" t="s">
        <v>772</v>
      </c>
      <c r="E17" s="468">
        <v>309</v>
      </c>
      <c r="F17" s="456">
        <v>2.41</v>
      </c>
      <c r="G17" s="469" t="s">
        <v>772</v>
      </c>
    </row>
    <row r="18" spans="1:7" s="151" customFormat="1" ht="12.75">
      <c r="A18" s="34" t="s">
        <v>760</v>
      </c>
      <c r="B18" s="455">
        <f>+Hoja36!B27/(Hoja115!B18*1000)*100</f>
        <v>5.4349565042863786</v>
      </c>
      <c r="C18" s="455">
        <f>+Hoja36!D27/(Hoja115!C18*1000)*100</f>
        <v>4.188037682982563</v>
      </c>
      <c r="D18" s="466">
        <v>464.09</v>
      </c>
      <c r="E18" s="466">
        <v>398.24</v>
      </c>
      <c r="F18" s="166">
        <v>4.69</v>
      </c>
      <c r="G18" s="469">
        <v>8.5</v>
      </c>
    </row>
    <row r="19" spans="1:7" s="457" customFormat="1" ht="12.75">
      <c r="A19" s="166" t="s">
        <v>761</v>
      </c>
      <c r="B19" s="455">
        <f>+Hoja40!B20/(Hoja115!B19*1000)*100</f>
        <v>7.977940368454452</v>
      </c>
      <c r="C19" s="455">
        <f>+Hoja40!D20/(Hoja115!C19*1000)*100</f>
        <v>6.704572042055383</v>
      </c>
      <c r="D19" s="468" t="s">
        <v>772</v>
      </c>
      <c r="E19" s="468" t="s">
        <v>772</v>
      </c>
      <c r="F19" s="455">
        <v>11.25</v>
      </c>
      <c r="G19" s="455">
        <v>6.57</v>
      </c>
    </row>
    <row r="20" spans="1:7" s="151" customFormat="1" ht="12.75">
      <c r="A20" s="34" t="s">
        <v>350</v>
      </c>
      <c r="B20" s="455">
        <f>+Hoja41!B19/(Hoja115!B20*1000)*100</f>
        <v>0.8106912158896165</v>
      </c>
      <c r="C20" s="455">
        <f>+Hoja41!D19/(Hoja115!C20*1000)*100</f>
        <v>0.7888199924840287</v>
      </c>
      <c r="D20" s="464" t="s">
        <v>772</v>
      </c>
      <c r="E20" s="464" t="s">
        <v>772</v>
      </c>
      <c r="F20" s="464" t="s">
        <v>772</v>
      </c>
      <c r="G20" s="464" t="s">
        <v>772</v>
      </c>
    </row>
    <row r="21" spans="1:7" s="151" customFormat="1" ht="12.75">
      <c r="A21" s="34" t="s">
        <v>762</v>
      </c>
      <c r="B21" s="456">
        <f>+Hoja43!B20/(Hoja115!B21*1000)*100</f>
        <v>7.250742634526418</v>
      </c>
      <c r="C21" s="455">
        <f>+Hoja43!D20/(Hoja115!C21*1000)*100</f>
        <v>5.630722826672412</v>
      </c>
      <c r="D21" s="464" t="s">
        <v>772</v>
      </c>
      <c r="E21" s="464" t="s">
        <v>772</v>
      </c>
      <c r="F21" s="166">
        <v>40.6</v>
      </c>
      <c r="G21" s="166">
        <v>15.01</v>
      </c>
    </row>
    <row r="22" spans="1:7" s="151" customFormat="1" ht="12.75">
      <c r="A22" s="166" t="s">
        <v>763</v>
      </c>
      <c r="B22" s="464" t="s">
        <v>772</v>
      </c>
      <c r="C22" s="464" t="s">
        <v>772</v>
      </c>
      <c r="D22" s="464" t="s">
        <v>772</v>
      </c>
      <c r="E22" s="464" t="s">
        <v>772</v>
      </c>
      <c r="F22" s="464" t="s">
        <v>772</v>
      </c>
      <c r="G22" s="464" t="s">
        <v>772</v>
      </c>
    </row>
    <row r="23" s="151" customFormat="1" ht="12.75"/>
    <row r="24" spans="1:7" ht="14.25">
      <c r="A24" s="480" t="s">
        <v>352</v>
      </c>
      <c r="B24" s="643" t="s">
        <v>369</v>
      </c>
      <c r="C24" s="644"/>
      <c r="D24" s="643" t="s">
        <v>370</v>
      </c>
      <c r="E24" s="644"/>
      <c r="F24" s="643" t="s">
        <v>371</v>
      </c>
      <c r="G24" s="644"/>
    </row>
    <row r="25" spans="1:7" ht="15">
      <c r="A25" s="488" t="s">
        <v>353</v>
      </c>
      <c r="B25" s="645" t="s">
        <v>372</v>
      </c>
      <c r="C25" s="646"/>
      <c r="D25" s="645" t="s">
        <v>373</v>
      </c>
      <c r="E25" s="646"/>
      <c r="F25" s="645" t="s">
        <v>651</v>
      </c>
      <c r="G25" s="646"/>
    </row>
    <row r="26" spans="1:7" ht="30">
      <c r="A26" s="482"/>
      <c r="B26" s="483">
        <v>2002</v>
      </c>
      <c r="C26" s="483">
        <v>2001</v>
      </c>
      <c r="D26" s="483">
        <v>2002</v>
      </c>
      <c r="E26" s="483">
        <v>2001</v>
      </c>
      <c r="F26" s="483" t="s">
        <v>652</v>
      </c>
      <c r="G26" s="509" t="s">
        <v>653</v>
      </c>
    </row>
    <row r="27" spans="1:7" s="457" customFormat="1" ht="12.75">
      <c r="A27" s="461" t="s">
        <v>378</v>
      </c>
      <c r="B27" s="468">
        <f>('[6]Hoja49'!$B$24/1000)/'[1]Hoja109'!B28*100</f>
        <v>0.3991074721546065</v>
      </c>
      <c r="C27" s="468">
        <f>('[6]Hoja49'!$D$24/1000)/'[1]Hoja109'!C28*100</f>
        <v>0.3257035308289697</v>
      </c>
      <c r="D27" s="466">
        <v>109.6</v>
      </c>
      <c r="E27" s="468">
        <f>208.23/2.0467</f>
        <v>101.7393853520301</v>
      </c>
      <c r="F27" s="468">
        <v>-0.7</v>
      </c>
      <c r="G27" s="468" t="s">
        <v>772</v>
      </c>
    </row>
    <row r="28" spans="1:7" s="457" customFormat="1" ht="12.75">
      <c r="A28" s="461" t="s">
        <v>379</v>
      </c>
      <c r="B28" s="455">
        <v>6.8</v>
      </c>
      <c r="C28" s="455">
        <v>6.2</v>
      </c>
      <c r="D28" s="468" t="s">
        <v>772</v>
      </c>
      <c r="E28" s="468" t="s">
        <v>772</v>
      </c>
      <c r="F28" s="468" t="s">
        <v>772</v>
      </c>
      <c r="G28" s="468" t="s">
        <v>772</v>
      </c>
    </row>
    <row r="29" spans="1:7" s="457" customFormat="1" ht="12.75">
      <c r="A29" s="461" t="s">
        <v>380</v>
      </c>
      <c r="B29" s="455">
        <f>('[6]Hoja55'!$B$17/1000)/'[1]Hoja109'!B31*100</f>
        <v>17.229168455703448</v>
      </c>
      <c r="C29" s="455">
        <f>('[6]Hoja55'!$D$17/1000)/'[1]Hoja109'!C31*100</f>
        <v>12.636624775583483</v>
      </c>
      <c r="D29" s="468" t="s">
        <v>772</v>
      </c>
      <c r="E29" s="466">
        <v>134.4</v>
      </c>
      <c r="F29" s="468">
        <v>8.34</v>
      </c>
      <c r="G29" s="468" t="s">
        <v>772</v>
      </c>
    </row>
    <row r="30" spans="1:7" s="457" customFormat="1" ht="12.75">
      <c r="A30" s="461" t="s">
        <v>381</v>
      </c>
      <c r="B30" s="455">
        <f>('[6]Hoja57'!$B$34/1000)/'[1]Hoja109'!B32*100</f>
        <v>1.4110992225252519</v>
      </c>
      <c r="C30" s="455">
        <f>('[6]Hoja57'!$D$34/1000)/'[1]Hoja109'!C32*100</f>
        <v>0.8202014233481325</v>
      </c>
      <c r="D30" s="468" t="s">
        <v>772</v>
      </c>
      <c r="E30" s="468" t="s">
        <v>772</v>
      </c>
      <c r="F30" s="468" t="s">
        <v>772</v>
      </c>
      <c r="G30" s="468" t="s">
        <v>772</v>
      </c>
    </row>
    <row r="31" spans="1:7" s="151" customFormat="1" ht="12.75">
      <c r="A31" s="101"/>
      <c r="B31" s="221"/>
      <c r="C31" s="221"/>
      <c r="D31" s="468"/>
      <c r="E31" s="468"/>
      <c r="F31" s="468"/>
      <c r="G31" s="468"/>
    </row>
    <row r="32" ht="12.75">
      <c r="A32" s="66" t="s">
        <v>360</v>
      </c>
    </row>
    <row r="33" spans="1:7" ht="12.75">
      <c r="A33" s="66" t="s">
        <v>361</v>
      </c>
      <c r="B33" s="74"/>
      <c r="C33" s="74"/>
      <c r="D33" s="74"/>
      <c r="E33" s="74"/>
      <c r="F33" s="74"/>
      <c r="G33" s="74"/>
    </row>
    <row r="34" spans="1:7" ht="12.75">
      <c r="A34" s="66" t="s">
        <v>649</v>
      </c>
      <c r="B34" s="74"/>
      <c r="C34" s="74"/>
      <c r="D34" s="74"/>
      <c r="E34" s="74"/>
      <c r="F34" s="74"/>
      <c r="G34" s="74"/>
    </row>
    <row r="35" spans="1:7" ht="12.75">
      <c r="A35" s="470" t="s">
        <v>383</v>
      </c>
      <c r="B35" s="74"/>
      <c r="C35" s="74"/>
      <c r="D35" s="74"/>
      <c r="E35" s="74"/>
      <c r="F35" s="74"/>
      <c r="G35" s="74"/>
    </row>
    <row r="36" spans="1:7" ht="12.75">
      <c r="A36" s="470" t="s">
        <v>650</v>
      </c>
      <c r="B36" s="74"/>
      <c r="C36" s="74"/>
      <c r="D36" s="74"/>
      <c r="E36" s="74"/>
      <c r="F36" s="74"/>
      <c r="G36" s="74"/>
    </row>
    <row r="37" spans="1:7" ht="27" customHeight="1">
      <c r="A37" s="623" t="s">
        <v>384</v>
      </c>
      <c r="B37" s="623"/>
      <c r="C37" s="623"/>
      <c r="D37" s="623"/>
      <c r="E37" s="623"/>
      <c r="F37" s="623"/>
      <c r="G37" s="623"/>
    </row>
    <row r="38" spans="1:7" ht="12.75">
      <c r="A38" s="470" t="s">
        <v>385</v>
      </c>
      <c r="B38" s="74"/>
      <c r="C38" s="74"/>
      <c r="D38" s="74"/>
      <c r="E38" s="74"/>
      <c r="F38" s="74"/>
      <c r="G38" s="74"/>
    </row>
    <row r="39" spans="1:7" ht="12.75">
      <c r="A39" s="470" t="s">
        <v>386</v>
      </c>
      <c r="B39" s="74"/>
      <c r="C39" s="74"/>
      <c r="D39" s="74"/>
      <c r="E39" s="74"/>
      <c r="F39" s="74"/>
      <c r="G39" s="74"/>
    </row>
    <row r="40" spans="2:7" ht="12.75">
      <c r="B40" s="74"/>
      <c r="C40" s="74"/>
      <c r="D40" s="74"/>
      <c r="E40" s="74"/>
      <c r="F40" s="74"/>
      <c r="G40" s="74"/>
    </row>
  </sheetData>
  <mergeCells count="14">
    <mergeCell ref="F7:G7"/>
    <mergeCell ref="B25:C25"/>
    <mergeCell ref="D25:E25"/>
    <mergeCell ref="F25:G25"/>
    <mergeCell ref="A37:G37"/>
    <mergeCell ref="A4:G4"/>
    <mergeCell ref="B24:C24"/>
    <mergeCell ref="D24:E24"/>
    <mergeCell ref="F24:G24"/>
    <mergeCell ref="B6:C6"/>
    <mergeCell ref="D6:E6"/>
    <mergeCell ref="F6:G6"/>
    <mergeCell ref="B7:C7"/>
    <mergeCell ref="D7:E7"/>
  </mergeCells>
  <printOptions horizontalCentered="1"/>
  <pageMargins left="0.75" right="0.75" top="1" bottom="1" header="0" footer="0"/>
  <pageSetup horizontalDpi="300" verticalDpi="300" orientation="landscape" scale="90" r:id="rId1"/>
  <headerFooter alignWithMargins="0">
    <oddFooter>&amp;C116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Computador 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Computador Personal.</dc:creator>
  <cp:keywords/>
  <dc:description/>
  <cp:lastModifiedBy>Computador Personal</cp:lastModifiedBy>
  <cp:lastPrinted>2003-05-16T14:00:24Z</cp:lastPrinted>
  <dcterms:created xsi:type="dcterms:W3CDTF">1999-12-01T21:23:21Z</dcterms:created>
  <dcterms:modified xsi:type="dcterms:W3CDTF">2004-03-04T19:32:40Z</dcterms:modified>
  <cp:category/>
  <cp:version/>
  <cp:contentType/>
  <cp:contentStatus/>
</cp:coreProperties>
</file>